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C:\Users\KK117\Downloads\"/>
    </mc:Choice>
  </mc:AlternateContent>
  <xr:revisionPtr revIDLastSave="0" documentId="8_{240E29E2-D973-4C77-B1E9-F1D1855454E8}" xr6:coauthVersionLast="47" xr6:coauthVersionMax="47" xr10:uidLastSave="{00000000-0000-0000-0000-000000000000}"/>
  <bookViews>
    <workbookView xWindow="13335" yWindow="-16350" windowWidth="29040" windowHeight="15720" xr2:uid="{00000000-000D-0000-FFFF-FFFF00000000}"/>
  </bookViews>
  <sheets>
    <sheet name="Ark1" sheetId="1" r:id="rId1"/>
  </sheets>
  <definedNames>
    <definedName name="_xlnm._FilterDatabase" localSheetId="0" hidden="1">'Ark1'!$A$6:$I$106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32" i="1"/>
  <c r="M51" i="1"/>
  <c r="M60" i="1"/>
  <c r="M11" i="1"/>
  <c r="M27" i="1"/>
  <c r="M7" i="1"/>
  <c r="M28" i="1"/>
  <c r="M13" i="1"/>
  <c r="M41" i="1"/>
  <c r="M14" i="1"/>
  <c r="M23" i="1"/>
  <c r="M31" i="1"/>
  <c r="M73" i="1"/>
  <c r="M50" i="1"/>
  <c r="M82" i="1"/>
  <c r="M52" i="1"/>
  <c r="N53" i="1"/>
  <c r="M49" i="1"/>
  <c r="K53" i="1"/>
  <c r="J89" i="1"/>
  <c r="J82" i="1"/>
  <c r="J81" i="1"/>
  <c r="J75" i="1"/>
  <c r="J74" i="1"/>
  <c r="J60" i="1"/>
  <c r="J52" i="1"/>
  <c r="J51" i="1"/>
  <c r="J50" i="1"/>
  <c r="J49" i="1"/>
  <c r="J34" i="1"/>
  <c r="J31" i="1"/>
  <c r="J27" i="1"/>
  <c r="J23" i="1"/>
  <c r="J19" i="1"/>
  <c r="J14" i="1"/>
  <c r="J13" i="1"/>
  <c r="J12" i="1"/>
  <c r="G11" i="1"/>
  <c r="G10" i="1"/>
  <c r="J7" i="1"/>
  <c r="F63" i="1"/>
  <c r="E11" i="1" a="1"/>
  <c r="E11" i="1" s="1"/>
  <c r="D47" i="1"/>
  <c r="D46" i="1"/>
  <c r="D45" i="1"/>
  <c r="D44" i="1"/>
  <c r="D43" i="1"/>
  <c r="F103" i="1"/>
  <c r="F101" i="1"/>
  <c r="F100" i="1"/>
  <c r="F99" i="1"/>
  <c r="F98" i="1"/>
  <c r="F97" i="1"/>
  <c r="F96" i="1"/>
  <c r="F95" i="1"/>
  <c r="F94" i="1"/>
  <c r="F93" i="1"/>
  <c r="F92" i="1"/>
  <c r="F90" i="1"/>
  <c r="F89" i="1"/>
  <c r="F88" i="1"/>
  <c r="F87" i="1"/>
  <c r="F85" i="1"/>
  <c r="F84" i="1"/>
  <c r="F82" i="1"/>
  <c r="F81" i="1"/>
  <c r="F80" i="1"/>
  <c r="F79" i="1"/>
  <c r="F78" i="1"/>
  <c r="F77" i="1"/>
  <c r="F75" i="1"/>
  <c r="F74" i="1"/>
  <c r="F71" i="1"/>
  <c r="F70" i="1"/>
  <c r="F69" i="1"/>
  <c r="F68" i="1"/>
  <c r="F67" i="1"/>
  <c r="F65" i="1"/>
  <c r="F60" i="1"/>
  <c r="F59" i="1"/>
  <c r="F58" i="1"/>
  <c r="F57" i="1"/>
  <c r="F56" i="1"/>
  <c r="F55" i="1"/>
  <c r="F54" i="1"/>
  <c r="F52" i="1"/>
  <c r="F51" i="1"/>
  <c r="F50" i="1"/>
  <c r="F49" i="1"/>
  <c r="F47" i="1"/>
  <c r="F46" i="1"/>
  <c r="F45" i="1"/>
  <c r="F44" i="1"/>
  <c r="F43" i="1"/>
  <c r="F41" i="1"/>
  <c r="F83" i="1"/>
  <c r="F40" i="1"/>
  <c r="F39" i="1"/>
  <c r="F76" i="1"/>
  <c r="F38" i="1"/>
  <c r="F73" i="1"/>
  <c r="F66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64" i="1"/>
  <c r="F22" i="1"/>
  <c r="F21" i="1"/>
  <c r="F20" i="1"/>
  <c r="F19" i="1"/>
  <c r="F18" i="1"/>
  <c r="F17" i="1"/>
  <c r="F16" i="1"/>
  <c r="F14" i="1"/>
  <c r="F13" i="1"/>
  <c r="F12" i="1"/>
  <c r="F9" i="1"/>
  <c r="F8" i="1"/>
  <c r="F7" i="1"/>
  <c r="M53" i="1" l="1"/>
  <c r="J11" i="1"/>
  <c r="J53" i="1"/>
  <c r="G63" i="1"/>
  <c r="G75" i="1"/>
  <c r="G65" i="1"/>
  <c r="G50" i="1"/>
  <c r="G59" i="1"/>
  <c r="G16" i="1"/>
  <c r="G31" i="1"/>
  <c r="G17" i="1"/>
  <c r="G24" i="1"/>
  <c r="G51" i="1"/>
  <c r="G60" i="1"/>
  <c r="G82" i="1"/>
  <c r="G93" i="1"/>
  <c r="G101" i="1"/>
  <c r="G9" i="1"/>
  <c r="G18" i="1"/>
  <c r="G52" i="1"/>
  <c r="G74" i="1"/>
  <c r="G77" i="1"/>
  <c r="G19" i="1"/>
  <c r="G34" i="1"/>
  <c r="G12" i="1"/>
  <c r="G36" i="1"/>
  <c r="G88" i="1"/>
  <c r="G13" i="1"/>
  <c r="G37" i="1"/>
  <c r="G57" i="1"/>
  <c r="G68" i="1"/>
  <c r="G79" i="1"/>
  <c r="G89" i="1"/>
  <c r="G98" i="1"/>
  <c r="G39" i="1"/>
  <c r="G27" i="1"/>
  <c r="G14" i="1"/>
  <c r="G64" i="1"/>
  <c r="G30" i="1"/>
  <c r="G49" i="1"/>
  <c r="G58" i="1"/>
  <c r="G80" i="1"/>
  <c r="G99" i="1"/>
  <c r="G7" i="1"/>
  <c r="G23" i="1"/>
  <c r="G70" i="1"/>
  <c r="G81" i="1"/>
  <c r="G92" i="1"/>
  <c r="G100" i="1"/>
  <c r="D86" i="1"/>
  <c r="E63" i="1" a="1"/>
  <c r="E63" i="1" s="1"/>
  <c r="F91" i="1"/>
  <c r="F61" i="1"/>
  <c r="F104" i="1"/>
  <c r="F53" i="1"/>
  <c r="F48" i="1"/>
  <c r="F42" i="1"/>
  <c r="F86" i="1"/>
  <c r="F15" i="1"/>
  <c r="D15" i="1"/>
  <c r="D104" i="1"/>
  <c r="E101" i="1" a="1"/>
  <c r="E101" i="1" s="1"/>
  <c r="E99" i="1" a="1"/>
  <c r="E99" i="1" s="1"/>
  <c r="E98" i="1" a="1"/>
  <c r="E98" i="1" s="1"/>
  <c r="E97" i="1" a="1"/>
  <c r="E97" i="1" s="1"/>
  <c r="E94" i="1" a="1"/>
  <c r="E94" i="1" s="1"/>
  <c r="E92" i="1" a="1"/>
  <c r="E92" i="1" s="1"/>
  <c r="D91" i="1"/>
  <c r="E90" i="1" a="1"/>
  <c r="E90" i="1" s="1"/>
  <c r="E89" i="1" a="1"/>
  <c r="E89" i="1" s="1"/>
  <c r="E87" i="1" a="1"/>
  <c r="E87" i="1" s="1"/>
  <c r="E85" i="1" a="1"/>
  <c r="E85" i="1" s="1"/>
  <c r="E81" i="1" a="1"/>
  <c r="E81" i="1" s="1"/>
  <c r="E80" i="1" a="1"/>
  <c r="E80" i="1" s="1"/>
  <c r="E79" i="1" a="1"/>
  <c r="E79" i="1" s="1"/>
  <c r="E77" i="1" a="1"/>
  <c r="E77" i="1" s="1"/>
  <c r="E75" i="1" a="1"/>
  <c r="E75" i="1" s="1"/>
  <c r="E70" i="1" a="1"/>
  <c r="E70" i="1" s="1"/>
  <c r="E69" i="1" a="1"/>
  <c r="E69" i="1" s="1"/>
  <c r="E68" i="1" a="1"/>
  <c r="E68" i="1" s="1"/>
  <c r="E67" i="1" a="1"/>
  <c r="E67" i="1" s="1"/>
  <c r="E65" i="1" a="1"/>
  <c r="E65" i="1" s="1"/>
  <c r="E62" i="1" a="1"/>
  <c r="E62" i="1" s="1"/>
  <c r="D61" i="1"/>
  <c r="E59" i="1" a="1"/>
  <c r="E59" i="1" s="1"/>
  <c r="E57" i="1" a="1"/>
  <c r="E57" i="1" s="1"/>
  <c r="E56" i="1" a="1"/>
  <c r="E56" i="1" s="1"/>
  <c r="E55" i="1" a="1"/>
  <c r="E55" i="1" s="1"/>
  <c r="E54" i="1" a="1"/>
  <c r="E54" i="1" s="1"/>
  <c r="D53" i="1"/>
  <c r="E52" i="1" a="1"/>
  <c r="E52" i="1" s="1"/>
  <c r="E49" i="1" a="1"/>
  <c r="E49" i="1" s="1"/>
  <c r="D48" i="1"/>
  <c r="E47" i="1" a="1"/>
  <c r="E47" i="1" s="1"/>
  <c r="D42" i="1"/>
  <c r="E40" i="1" a="1"/>
  <c r="E40" i="1" s="1"/>
  <c r="E76" i="1" a="1"/>
  <c r="E76" i="1" s="1"/>
  <c r="E38" i="1" a="1"/>
  <c r="E38" i="1" s="1"/>
  <c r="E66" i="1" a="1"/>
  <c r="E66" i="1" s="1"/>
  <c r="E37" i="1" a="1"/>
  <c r="E37" i="1" s="1"/>
  <c r="E35" i="1" a="1"/>
  <c r="E35" i="1" s="1"/>
  <c r="E34" i="1" a="1"/>
  <c r="E34" i="1" s="1"/>
  <c r="E33" i="1" a="1"/>
  <c r="E33" i="1" s="1"/>
  <c r="E32" i="1" a="1"/>
  <c r="E32" i="1" s="1"/>
  <c r="E30" i="1" a="1"/>
  <c r="E30" i="1" s="1"/>
  <c r="E29" i="1" a="1"/>
  <c r="E29" i="1" s="1"/>
  <c r="E27" i="1" a="1"/>
  <c r="E27" i="1" s="1"/>
  <c r="E26" i="1" a="1"/>
  <c r="E26" i="1" s="1"/>
  <c r="E25" i="1" a="1"/>
  <c r="E25" i="1" s="1"/>
  <c r="E24" i="1" a="1"/>
  <c r="E24" i="1" s="1"/>
  <c r="E22" i="1" a="1"/>
  <c r="E22" i="1" s="1"/>
  <c r="E20" i="1" a="1"/>
  <c r="E20" i="1" s="1"/>
  <c r="E18" i="1" a="1"/>
  <c r="E18" i="1" s="1"/>
  <c r="E17" i="1" a="1"/>
  <c r="E17" i="1" s="1"/>
  <c r="E14" i="1" a="1"/>
  <c r="E14" i="1" s="1"/>
  <c r="E13" i="1" a="1"/>
  <c r="E13" i="1" s="1"/>
  <c r="E12" i="1" a="1"/>
  <c r="E12" i="1" s="1"/>
  <c r="F105" i="1" l="1"/>
  <c r="F106" i="1"/>
  <c r="D106" i="1"/>
  <c r="E64" i="1" a="1"/>
  <c r="E64" i="1" s="1"/>
  <c r="E46" i="1" a="1"/>
  <c r="E46" i="1" s="1"/>
  <c r="E10" i="1" a="1"/>
  <c r="E78" i="1" a="1"/>
  <c r="E78" i="1" s="1"/>
  <c r="D105" i="1"/>
  <c r="E9" i="1" a="1"/>
  <c r="E9" i="1" s="1"/>
  <c r="E19" i="1" a="1"/>
  <c r="E19" i="1" s="1"/>
  <c r="E39" i="1" a="1"/>
  <c r="E39" i="1" s="1"/>
  <c r="E41" i="1" a="1"/>
  <c r="E41" i="1" s="1"/>
  <c r="E45" i="1" a="1"/>
  <c r="E45" i="1" s="1"/>
  <c r="E51" i="1" a="1"/>
  <c r="E51" i="1" s="1"/>
  <c r="E58" i="1" a="1"/>
  <c r="E58" i="1" s="1"/>
  <c r="E71" i="1" a="1"/>
  <c r="E71" i="1" s="1"/>
  <c r="E82" i="1" a="1"/>
  <c r="E82" i="1" s="1"/>
  <c r="E93" i="1" a="1"/>
  <c r="E93" i="1" s="1"/>
  <c r="E96" i="1" a="1"/>
  <c r="E96" i="1" s="1"/>
  <c r="E16" i="1" a="1"/>
  <c r="E16" i="1" s="1"/>
  <c r="E23" i="1" a="1"/>
  <c r="E23" i="1" s="1"/>
  <c r="E31" i="1" a="1"/>
  <c r="E31" i="1" s="1"/>
  <c r="E73" i="1" a="1"/>
  <c r="E73" i="1" s="1"/>
  <c r="H53" i="1"/>
  <c r="E91" i="1"/>
  <c r="E86" i="1"/>
  <c r="E100" i="1" a="1"/>
  <c r="E100" i="1" s="1"/>
  <c r="E8" i="1" a="1"/>
  <c r="E8" i="1" s="1"/>
  <c r="E21" i="1" a="1"/>
  <c r="E21" i="1" s="1"/>
  <c r="E28" i="1" a="1"/>
  <c r="E28" i="1" s="1"/>
  <c r="E36" i="1" a="1"/>
  <c r="E36" i="1" s="1"/>
  <c r="E83" i="1" a="1"/>
  <c r="E83" i="1" s="1"/>
  <c r="E44" i="1" a="1"/>
  <c r="E44" i="1" s="1"/>
  <c r="E50" i="1" a="1"/>
  <c r="E50" i="1" s="1"/>
  <c r="E60" i="1" a="1"/>
  <c r="E60" i="1" s="1"/>
  <c r="E95" i="1" a="1"/>
  <c r="E95" i="1" s="1"/>
  <c r="E103" i="1" a="1"/>
  <c r="E103" i="1" s="1"/>
  <c r="E42" i="1"/>
  <c r="E7" i="1" a="1"/>
  <c r="E7" i="1" s="1"/>
  <c r="E43" i="1" a="1"/>
  <c r="E43" i="1" s="1"/>
  <c r="E74" i="1" a="1"/>
  <c r="E74" i="1" s="1"/>
  <c r="E84" i="1" a="1"/>
  <c r="E84" i="1" s="1"/>
  <c r="E88" i="1" a="1"/>
  <c r="E88" i="1" s="1"/>
  <c r="E104" i="1"/>
  <c r="E61" i="1"/>
  <c r="E48" i="1" l="1"/>
  <c r="E10" i="1"/>
  <c r="E15" i="1"/>
  <c r="G53" i="1"/>
  <c r="E53" i="1"/>
  <c r="E105" i="1" s="1"/>
  <c r="E106" i="1" l="1"/>
  <c r="J58" i="1" l="1"/>
  <c r="K48" i="1" l="1"/>
  <c r="M76" i="1" l="1"/>
  <c r="M29" i="1" l="1"/>
  <c r="G62" i="1" l="1"/>
  <c r="G55" i="1" l="1"/>
  <c r="J55" i="1"/>
  <c r="G76" i="1"/>
  <c r="J76" i="1"/>
  <c r="M44" i="1" l="1"/>
  <c r="M45" i="1" l="1"/>
  <c r="M46" i="1"/>
  <c r="M47" i="1"/>
  <c r="J65" i="1" l="1"/>
  <c r="M21" i="1" l="1"/>
  <c r="J18" i="1" l="1"/>
  <c r="M20" i="1" l="1"/>
  <c r="J8" i="1"/>
  <c r="H15" i="1"/>
  <c r="G8" i="1"/>
  <c r="G15" i="1" s="1"/>
  <c r="N48" i="1" l="1"/>
  <c r="M43" i="1"/>
  <c r="M48" i="1" s="1"/>
  <c r="G56" i="1"/>
  <c r="M26" i="1" l="1"/>
  <c r="J16" i="1" l="1"/>
  <c r="G47" i="1" l="1"/>
  <c r="J47" i="1"/>
  <c r="J46" i="1"/>
  <c r="G46" i="1"/>
  <c r="J44" i="1"/>
  <c r="G44" i="1"/>
  <c r="J45" i="1"/>
  <c r="G45" i="1"/>
  <c r="G43" i="1" l="1"/>
  <c r="G48" i="1" s="1"/>
  <c r="J43" i="1"/>
  <c r="J48" i="1" s="1"/>
  <c r="H48" i="1"/>
  <c r="J57" i="1"/>
  <c r="M34" i="1" l="1"/>
  <c r="J10" i="1" l="1"/>
  <c r="M65" i="1"/>
  <c r="M89" i="1" l="1"/>
  <c r="M75" i="1"/>
  <c r="M40" i="1"/>
  <c r="M81" i="1"/>
  <c r="M94" i="1" l="1"/>
  <c r="M12" i="1"/>
  <c r="J37" i="1"/>
  <c r="M37" i="1" l="1"/>
  <c r="M35" i="1"/>
  <c r="M58" i="1"/>
  <c r="J59" i="1"/>
  <c r="M59" i="1"/>
  <c r="J88" i="1" l="1"/>
  <c r="J70" i="1"/>
  <c r="J99" i="1"/>
  <c r="J24" i="1"/>
  <c r="J79" i="1"/>
  <c r="J98" i="1"/>
  <c r="J101" i="1"/>
  <c r="J36" i="1"/>
  <c r="M83" i="1"/>
  <c r="J77" i="1"/>
  <c r="M19" i="1"/>
  <c r="J64" i="1"/>
  <c r="J80" i="1"/>
  <c r="J93" i="1"/>
  <c r="J63" i="1"/>
  <c r="J100" i="1"/>
  <c r="J39" i="1"/>
  <c r="M54" i="1"/>
  <c r="M39" i="1" l="1"/>
  <c r="M16" i="1"/>
  <c r="M101" i="1"/>
  <c r="M68" i="1"/>
  <c r="J68" i="1"/>
  <c r="J17" i="1"/>
  <c r="M99" i="1"/>
  <c r="M24" i="1"/>
  <c r="M88" i="1"/>
  <c r="M70" i="1"/>
  <c r="M100" i="1"/>
  <c r="M57" i="1"/>
  <c r="M79" i="1"/>
  <c r="M93" i="1"/>
  <c r="M36" i="1"/>
  <c r="M80" i="1"/>
  <c r="M17" i="1"/>
  <c r="M18" i="1"/>
  <c r="M77" i="1"/>
  <c r="J30" i="1"/>
  <c r="M30" i="1"/>
  <c r="M98" i="1"/>
  <c r="M10" i="1"/>
  <c r="N15" i="1"/>
  <c r="J9" i="1"/>
  <c r="J15" i="1" s="1"/>
  <c r="K15" i="1"/>
  <c r="M9" i="1"/>
  <c r="G87" i="1"/>
  <c r="M64" i="1"/>
  <c r="J92" i="1"/>
  <c r="G33" i="1"/>
  <c r="M15" i="1" l="1"/>
  <c r="M63" i="1"/>
  <c r="M92" i="1"/>
  <c r="J87" i="1"/>
  <c r="J33" i="1" l="1"/>
  <c r="M33" i="1" l="1"/>
  <c r="M56" i="1"/>
  <c r="M87" i="1"/>
  <c r="K61" i="1"/>
  <c r="J56" i="1"/>
  <c r="G25" i="1"/>
  <c r="G67" i="1"/>
  <c r="G85" i="1"/>
  <c r="G96" i="1"/>
  <c r="G71" i="1"/>
  <c r="G22" i="1"/>
  <c r="G84" i="1"/>
  <c r="G78" i="1"/>
  <c r="G102" i="1"/>
  <c r="G95" i="1"/>
  <c r="G69" i="1"/>
  <c r="G97" i="1"/>
  <c r="G103" i="1"/>
  <c r="J41" i="1" l="1"/>
  <c r="G41" i="1"/>
  <c r="J38" i="1"/>
  <c r="G38" i="1"/>
  <c r="J94" i="1"/>
  <c r="G94" i="1"/>
  <c r="G104" i="1" s="1"/>
  <c r="H104" i="1"/>
  <c r="G66" i="1"/>
  <c r="H86" i="1"/>
  <c r="G21" i="1"/>
  <c r="J21" i="1"/>
  <c r="G26" i="1"/>
  <c r="J26" i="1"/>
  <c r="G35" i="1"/>
  <c r="J35" i="1"/>
  <c r="J73" i="1"/>
  <c r="G73" i="1"/>
  <c r="G83" i="1"/>
  <c r="J83" i="1"/>
  <c r="J54" i="1"/>
  <c r="J61" i="1" s="1"/>
  <c r="G54" i="1"/>
  <c r="G61" i="1" s="1"/>
  <c r="H61" i="1"/>
  <c r="J28" i="1"/>
  <c r="G28" i="1"/>
  <c r="J29" i="1"/>
  <c r="G29" i="1"/>
  <c r="G32" i="1"/>
  <c r="J32" i="1"/>
  <c r="J40" i="1"/>
  <c r="G40" i="1"/>
  <c r="H42" i="1"/>
  <c r="G20" i="1"/>
  <c r="J20" i="1"/>
  <c r="G86" i="1" l="1"/>
  <c r="J84" i="1"/>
  <c r="J102" i="1"/>
  <c r="G90" i="1"/>
  <c r="G91" i="1" s="1"/>
  <c r="H91" i="1"/>
  <c r="H106" i="1" s="1"/>
  <c r="J97" i="1"/>
  <c r="J25" i="1"/>
  <c r="J103" i="1"/>
  <c r="G42" i="1"/>
  <c r="J67" i="1"/>
  <c r="J66" i="1"/>
  <c r="J71" i="1"/>
  <c r="J85" i="1"/>
  <c r="J78" i="1"/>
  <c r="J96" i="1"/>
  <c r="H105" i="1"/>
  <c r="G106" i="1" l="1"/>
  <c r="G105" i="1"/>
  <c r="J95" i="1"/>
  <c r="J104" i="1" s="1"/>
  <c r="K104" i="1"/>
  <c r="M97" i="1"/>
  <c r="J22" i="1"/>
  <c r="J42" i="1" s="1"/>
  <c r="K42" i="1"/>
  <c r="M71" i="1"/>
  <c r="M69" i="1"/>
  <c r="J69" i="1"/>
  <c r="M78" i="1"/>
  <c r="M103" i="1"/>
  <c r="M38" i="1"/>
  <c r="M85" i="1"/>
  <c r="M84" i="1"/>
  <c r="M25" i="1"/>
  <c r="M67" i="1"/>
  <c r="K91" i="1"/>
  <c r="J90" i="1"/>
  <c r="J91" i="1" s="1"/>
  <c r="J62" i="1"/>
  <c r="M62" i="1"/>
  <c r="K86" i="1"/>
  <c r="M96" i="1"/>
  <c r="M102" i="1"/>
  <c r="K105" i="1" l="1"/>
  <c r="K106" i="1"/>
  <c r="M95" i="1"/>
  <c r="M104" i="1" s="1"/>
  <c r="N104" i="1"/>
  <c r="M66" i="1"/>
  <c r="M90" i="1"/>
  <c r="M91" i="1" s="1"/>
  <c r="N91" i="1"/>
  <c r="M22" i="1"/>
  <c r="M42" i="1" s="1"/>
  <c r="N42" i="1"/>
  <c r="J86" i="1"/>
  <c r="J105" i="1" s="1"/>
  <c r="M55" i="1"/>
  <c r="M61" i="1" s="1"/>
  <c r="N61" i="1"/>
  <c r="J106" i="1" l="1"/>
  <c r="M74" i="1" l="1"/>
  <c r="M86" i="1" s="1"/>
  <c r="N86" i="1"/>
  <c r="M106" i="1" l="1"/>
  <c r="M105" i="1"/>
  <c r="N105" i="1"/>
  <c r="N106" i="1"/>
</calcChain>
</file>

<file path=xl/sharedStrings.xml><?xml version="1.0" encoding="utf-8"?>
<sst xmlns="http://schemas.openxmlformats.org/spreadsheetml/2006/main" count="436" uniqueCount="224">
  <si>
    <t>Prosjekt prognose inkl inntekter</t>
  </si>
  <si>
    <t>Budsjett</t>
  </si>
  <si>
    <t>Prosjek</t>
  </si>
  <si>
    <t>Prosjekt</t>
  </si>
  <si>
    <t>Reelt</t>
  </si>
  <si>
    <t>Avvik</t>
  </si>
  <si>
    <t>Prognose</t>
  </si>
  <si>
    <t>Ansvarlig</t>
  </si>
  <si>
    <t>nr.</t>
  </si>
  <si>
    <t>navn</t>
  </si>
  <si>
    <t>A25 vs B26</t>
  </si>
  <si>
    <t>B26 vs P26</t>
  </si>
  <si>
    <t>KOMMENTAR P26</t>
  </si>
  <si>
    <t>P26 vs B27</t>
  </si>
  <si>
    <t>KOMMENTAR B27</t>
  </si>
  <si>
    <t>B27 vs B28</t>
  </si>
  <si>
    <t>KOMMENTAR B28</t>
  </si>
  <si>
    <t>Ole Martin</t>
  </si>
  <si>
    <t>ANNONSEINNTEKTER JURISTEN</t>
  </si>
  <si>
    <t>nedadgående  trend</t>
  </si>
  <si>
    <t>som bud26</t>
  </si>
  <si>
    <t>Michael</t>
  </si>
  <si>
    <t>KONTIGENTINNTEKTER</t>
  </si>
  <si>
    <t>Flere studenter og færre Privat fører til lavere inntekt</t>
  </si>
  <si>
    <t>4% kontingent+5%medlemsvekst</t>
  </si>
  <si>
    <t>ANDRE INNTEKTER</t>
  </si>
  <si>
    <t>OU-ADM GEBYR INNTEKTER</t>
  </si>
  <si>
    <t>36% brukt per juli, men venter mye aktivitet høst26 slik at vi ender på budsjett</t>
  </si>
  <si>
    <t>KPI</t>
  </si>
  <si>
    <t>UTBYTTE FRA JURISTENES HUS</t>
  </si>
  <si>
    <t>utbytte fra JH tilkommer hvis besluttet</t>
  </si>
  <si>
    <t>Hilde</t>
  </si>
  <si>
    <t>AVSKRIVNINGER/TAP PÅ KRAV</t>
  </si>
  <si>
    <t>flere tapsføringer grunnet manglende betaling</t>
  </si>
  <si>
    <t>bud26</t>
  </si>
  <si>
    <t>som bud27</t>
  </si>
  <si>
    <t>Jan Erik</t>
  </si>
  <si>
    <t>RENTEINNTEKTER OG FINANSKOSTNADER</t>
  </si>
  <si>
    <t>Bankgebyrer og renter</t>
  </si>
  <si>
    <t>=bankgebyrer - renter</t>
  </si>
  <si>
    <t>REFUSJONER FRA JUS</t>
  </si>
  <si>
    <t>Sum inntekter</t>
  </si>
  <si>
    <t/>
  </si>
  <si>
    <t>Jan</t>
  </si>
  <si>
    <t>RETTSIKKERHETSPRISEN</t>
  </si>
  <si>
    <t>pris + diplom</t>
  </si>
  <si>
    <t>RETTSSIKKERHETSKONFERANSEN</t>
  </si>
  <si>
    <t>ARENDALSUKEN</t>
  </si>
  <si>
    <t>Hanne</t>
  </si>
  <si>
    <t>KOMMUNEPROSJEKTET</t>
  </si>
  <si>
    <t>Mindre aktivitet også ventet ut året</t>
  </si>
  <si>
    <t>HUMANITÆR INNSATS</t>
  </si>
  <si>
    <t>0,5% av kontingenten + ubrukte midler 2025</t>
  </si>
  <si>
    <t>0,5% av kontingent, avrundet</t>
  </si>
  <si>
    <t>Vegard</t>
  </si>
  <si>
    <t>MASTEROPPGAVE, RETTSIKKERHET ( STUDENT )</t>
  </si>
  <si>
    <t>budsjett 5stk à 35' (betalt 4stk à 40')</t>
  </si>
  <si>
    <t>Inntil 8 x 40'</t>
  </si>
  <si>
    <t>EKSTERNE KOMMUNIKASJONSTJENESTER</t>
  </si>
  <si>
    <t>DIVERSE UTVALG</t>
  </si>
  <si>
    <t>Kvinneutv + inkl&amp;mangfoldsutvalg 200'/hver. Mindre aktivitet hittil</t>
  </si>
  <si>
    <t>Kvinneutv. + Inkludering&amp;mangfold. 200' til hver</t>
  </si>
  <si>
    <t>Agnes Beate</t>
  </si>
  <si>
    <t>PROFILERINGSARTIKLER</t>
  </si>
  <si>
    <t>økt med 50'. Budsjett brukt opp per august</t>
  </si>
  <si>
    <t>Therese</t>
  </si>
  <si>
    <t>PRESIDENTSKAP</t>
  </si>
  <si>
    <t>DISPONIBELT FOR PRESIDENTSKAP</t>
  </si>
  <si>
    <t>Mirela</t>
  </si>
  <si>
    <t>JURISTFORUM</t>
  </si>
  <si>
    <t>Mindre aktivitet hittill, så redusert prognose</t>
  </si>
  <si>
    <t>JURISTKONGRESS</t>
  </si>
  <si>
    <t>Kongress 2027</t>
  </si>
  <si>
    <t>JURISTDAGEN</t>
  </si>
  <si>
    <t>Avlyst</t>
  </si>
  <si>
    <t>FAGUTVALG</t>
  </si>
  <si>
    <t>Benno</t>
  </si>
  <si>
    <t>Tech-Forum</t>
  </si>
  <si>
    <t>Kontingent Akademikerne</t>
  </si>
  <si>
    <t>15,-/medlem lavere kost enn budsjettert</t>
  </si>
  <si>
    <t>25030x170,83</t>
  </si>
  <si>
    <t>26282x179,37</t>
  </si>
  <si>
    <t>HOVEDSTYRET</t>
  </si>
  <si>
    <t>økt 200 tillegg for deltakelse av ledergruppen i styremøtene+mer seminararbeid</t>
  </si>
  <si>
    <t>inflasjon + 70'</t>
  </si>
  <si>
    <t>LANDSMØTE</t>
  </si>
  <si>
    <t>iht tilbud SoriaMoria + mer teknisk assistanse (+150' vin/møtemat)</t>
  </si>
  <si>
    <t>2år inflasjon</t>
  </si>
  <si>
    <t>AKADEMIKERPRISEN</t>
  </si>
  <si>
    <t>DISPONIBELT FOR GENERALSEKRETÆR</t>
  </si>
  <si>
    <t>NJ-PENSJONISTER</t>
  </si>
  <si>
    <t>bare 20' HIÅ. Møte 1310+2411. Primært i kantinen, med relativt lave kostander</t>
  </si>
  <si>
    <t>ADMIN KONTROLL</t>
  </si>
  <si>
    <t>Lisens</t>
  </si>
  <si>
    <t>Sagt opp</t>
  </si>
  <si>
    <t>KOMITEER</t>
  </si>
  <si>
    <t>Kontrollkomiteen: Reise, middag + honorar</t>
  </si>
  <si>
    <t>Arild</t>
  </si>
  <si>
    <t>KOSTNADER KONFLIKTBEREDSKAP/STREIK</t>
  </si>
  <si>
    <t>ÅPNING AV KURS FOR TILLITSVALGTE</t>
  </si>
  <si>
    <t>Kursaktivitet på tillittsvalgte uten OU-midler</t>
  </si>
  <si>
    <t>Sum hovedstyret</t>
  </si>
  <si>
    <t>Dommerforeningen</t>
  </si>
  <si>
    <t>Følger vedtatt tildelingsmodell med fast tildeling + andel av kontingent. Seksjonene kan overføre inntil 20% av budsjett fra 2026. Evt. overføringer fra 2026 tilkommer</t>
  </si>
  <si>
    <t>Følger vedtatt tildelingsmodell med fast tildeling + andel av kontingent. Seksjonene kan overføre inntil 100% av budsjett fra 2027. Evt. overføringer fra 2027 tilkommer</t>
  </si>
  <si>
    <t>KOMMUNE</t>
  </si>
  <si>
    <t>PRIVAT</t>
  </si>
  <si>
    <t>STAT</t>
  </si>
  <si>
    <t>STUDENT</t>
  </si>
  <si>
    <t>Sum seksjoner og foreninger</t>
  </si>
  <si>
    <t>LØNNSKOSTNADER</t>
  </si>
  <si>
    <t>143' fra lønnsavvik, 1158' fra bemanningsavvik</t>
  </si>
  <si>
    <t>To nye ansatte + en erstatter. 4,0% lønnsøkning</t>
  </si>
  <si>
    <t>To nye ansatte. 4,0% lønnsøkning</t>
  </si>
  <si>
    <t>Sum lønnskostnader</t>
  </si>
  <si>
    <t>ANDRE PERSONALFORSIKRINGER</t>
  </si>
  <si>
    <t>økt pga flere ansatte</t>
  </si>
  <si>
    <t>INNLEID PERSONAL</t>
  </si>
  <si>
    <t>Resepsjonstjenester + Interimsleder</t>
  </si>
  <si>
    <t>Resepsjonstjeneste</t>
  </si>
  <si>
    <t>KANTINE</t>
  </si>
  <si>
    <t>2025 har kantinen vert stengt 1Q25</t>
  </si>
  <si>
    <t>5% inflasjon+50' (pga stengt kantine jan26)</t>
  </si>
  <si>
    <t>5% inflasjon</t>
  </si>
  <si>
    <t>PERSONALKOSTNADER</t>
  </si>
  <si>
    <t>KPI + 50' arb. Miljø undersøkelse</t>
  </si>
  <si>
    <t>TEAMSAMLING,PERSONALSEMINAR</t>
  </si>
  <si>
    <t>B26+150'</t>
  </si>
  <si>
    <t>KOMPETANSEHEVING</t>
  </si>
  <si>
    <t>bud26+50'</t>
  </si>
  <si>
    <t>inkl. lederutvikling</t>
  </si>
  <si>
    <t>KOLLEKTIV PENSJONSFORSIKRING</t>
  </si>
  <si>
    <t>Avvik skyldes garantiregulering aktive</t>
  </si>
  <si>
    <t>Egen simulering. Inkl AFP</t>
  </si>
  <si>
    <t>Sum personalkostnader</t>
  </si>
  <si>
    <t>TRYKKSAK/TOÅRSBERETNING</t>
  </si>
  <si>
    <t>MEDIEKONTAKT</t>
  </si>
  <si>
    <t>Retriever + NTB abo.</t>
  </si>
  <si>
    <t>POLITISK UTREDNING &amp; ANALYSE</t>
  </si>
  <si>
    <t>Samfunnsundersøkelse</t>
  </si>
  <si>
    <t>Samfunnsundersøkelse KPI</t>
  </si>
  <si>
    <t>flyttet fra HS</t>
  </si>
  <si>
    <t>DRIFT politikk og samfunnskontakt</t>
  </si>
  <si>
    <t>div. reiser og aktiviteter i avdelingen + avdelingssamling</t>
  </si>
  <si>
    <t>Som bud26</t>
  </si>
  <si>
    <t>Som bud27</t>
  </si>
  <si>
    <t>MEDLEMSFORVALTNING</t>
  </si>
  <si>
    <t>SoMe ++ (ikke vervepremier)</t>
  </si>
  <si>
    <t>JURISTKONTAKT DRIFT</t>
  </si>
  <si>
    <t>55'/md+330' per utgivelse. 4 utgivelser 2026</t>
  </si>
  <si>
    <t>REISE- OG OPPHOLD DRIFT</t>
  </si>
  <si>
    <t>NORDISK MØTE</t>
  </si>
  <si>
    <t>TRYKKSAKER, DIV. BROSJYRER</t>
  </si>
  <si>
    <t>rettsmøte skritt for skritt</t>
  </si>
  <si>
    <t>BÆREKRAFT OG MILJØSATSING</t>
  </si>
  <si>
    <t>STYREANSVARSFORSIKRING</t>
  </si>
  <si>
    <t>Linda</t>
  </si>
  <si>
    <t>BANK / FORSIKRING</t>
  </si>
  <si>
    <t>Styreansvarsforsikring tilkommer 2027</t>
  </si>
  <si>
    <t>MEDLEMSSERVICE DRIFT</t>
  </si>
  <si>
    <t>+25' for avdelingssamling</t>
  </si>
  <si>
    <t>som bud26+25'</t>
  </si>
  <si>
    <t>Rekruttere og beholde medlemmer</t>
  </si>
  <si>
    <t>YTD 315' + 600' kampanje + 320' kurs og 250 marked</t>
  </si>
  <si>
    <t>Større satsing på rekruttering</t>
  </si>
  <si>
    <t>som bud26 (høy%)</t>
  </si>
  <si>
    <t>Thea WJ</t>
  </si>
  <si>
    <t>EKSTERNT KONSULENTARBEID</t>
  </si>
  <si>
    <t>Kun styreevaluering</t>
  </si>
  <si>
    <t>Behov ifm endringsproessen vi er i</t>
  </si>
  <si>
    <t>Div. reiser forhandlinger etc</t>
  </si>
  <si>
    <t>AKADEMIKERNE (MØTER)</t>
  </si>
  <si>
    <t>Erik G</t>
  </si>
  <si>
    <t>NEMNDSBEHANDLING KS OMRÅDET</t>
  </si>
  <si>
    <t>DRIFT LA-TEAMET</t>
  </si>
  <si>
    <t>20' HIÅ + 30 RAÅ</t>
  </si>
  <si>
    <t>PENSJONSRÅDGIVNING</t>
  </si>
  <si>
    <t>tar ned noe pga svært lite HIÅ</t>
  </si>
  <si>
    <t>BISTAND ENKELTSAKER</t>
  </si>
  <si>
    <t>650' HIÅ + 200'</t>
  </si>
  <si>
    <t>Inkl. kollektiv arb.rett</t>
  </si>
  <si>
    <t>Line</t>
  </si>
  <si>
    <t>Medlemsundersøkelser</t>
  </si>
  <si>
    <t>HIÅ, ikke medlemsundersøkelse (100')</t>
  </si>
  <si>
    <t>På bud26 nivå -50'</t>
  </si>
  <si>
    <t>DRIFT ADVOKATKONTORET</t>
  </si>
  <si>
    <t>Profesjonsansvar + tilsynsråd</t>
  </si>
  <si>
    <t>KARRIERETJENESTER</t>
  </si>
  <si>
    <t>Jelpr/karriereportal</t>
  </si>
  <si>
    <t>KPI. Jelpr/karriereportal. Outsourcing tjeneste</t>
  </si>
  <si>
    <t>Sum markedsaktiviteter</t>
  </si>
  <si>
    <t>IKT DRIFT</t>
  </si>
  <si>
    <t>på budsjett per juli. Inkluderer utfaktureringskost</t>
  </si>
  <si>
    <t>5% inflasjon. +Saga/Copilot. 200' ERP avskrivning</t>
  </si>
  <si>
    <t>5% inflasjon + 200' ERP avskrivning + 1,5'' digitalisering</t>
  </si>
  <si>
    <t>DATAFORVALTNING inkl. CRM</t>
  </si>
  <si>
    <t>KPI+1mNOK for dataløft</t>
  </si>
  <si>
    <t>NETTSIDE</t>
  </si>
  <si>
    <t>inkl. oppgradering til ny plattform</t>
  </si>
  <si>
    <t>tilbake til normalt nivå</t>
  </si>
  <si>
    <t>JURIDISK BISTAND, NYTT SYSTEM.</t>
  </si>
  <si>
    <t>inkl flere lisenser Advisor</t>
  </si>
  <si>
    <t>Sum IKT</t>
  </si>
  <si>
    <t>OU-MIDLER SOM IKKE BLIR REFUNDERT</t>
  </si>
  <si>
    <t>REVISOR</t>
  </si>
  <si>
    <t>LOKALKOSTNADER</t>
  </si>
  <si>
    <t>Reduserte felleskostnader</t>
  </si>
  <si>
    <t>MASKINER(LEIE-SERVICE)</t>
  </si>
  <si>
    <t>Drift printere. Avoki IT</t>
  </si>
  <si>
    <t>INVENTAR/MASKINER</t>
  </si>
  <si>
    <t>arbeidsplasstilpasning (stoler etc)</t>
  </si>
  <si>
    <t>TIDSREGISTRERINGSSYSTEMET</t>
  </si>
  <si>
    <t>REKVISITA</t>
  </si>
  <si>
    <t>HIÅ 75 + ROY 25</t>
  </si>
  <si>
    <t>PORTO</t>
  </si>
  <si>
    <t>TIDSSKRIFTER</t>
  </si>
  <si>
    <t>TELEFON OG FAKS</t>
  </si>
  <si>
    <t>DIVERSE RÅDGIVNING</t>
  </si>
  <si>
    <t>BIBLIOTEK</t>
  </si>
  <si>
    <t>Lovdata, Aschehaug, overgang til AI/Ki gir noe mer listanskostnader</t>
  </si>
  <si>
    <t>Lovdata, Juridika + Rettsdata(API)</t>
  </si>
  <si>
    <t>Sum andre driftskostnader</t>
  </si>
  <si>
    <t>Sum generalsekretær</t>
  </si>
  <si>
    <t>Resultat etter finansinnt og kostnader (oversk.-/undersk.+)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</si>
</sst>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414]mmmm\ yyyy;@"/>
    <numFmt numFmtId="166" formatCode="#,##0;[Blue]\-#,##0"/>
  </numFmts>
  <fonts count="12"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sz val="10"/>
      <name val="MS Sans Serif"/>
      <family val="2"/>
    </font>
    <font>
      <sz val="10"/>
      <name val="Arial"/>
      <family val="2"/>
    </font>
    <font>
      <sz val="10"/>
      <color theme="1"/>
      <name val="Verdana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Arial"/>
      <family val="2"/>
    </font>
    <font>
      <sz val="1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rgb="FF92D050"/>
        <bgColor theme="4" tint="0.79998168889431442"/>
      </patternFill>
    </fill>
    <fill>
      <patternFill patternType="solid">
        <fgColor theme="0" tint="-4.9958800012207406E-2"/>
        <bgColor theme="4" tint="0.79998168889431442"/>
      </patternFill>
    </fill>
    <fill>
      <patternFill patternType="solid">
        <fgColor theme="0" tint="-0.24994659260841701"/>
        <bgColor theme="4" tint="0.59999389629810485"/>
      </patternFill>
    </fill>
    <fill>
      <patternFill patternType="solid">
        <fgColor theme="0" tint="-4.9958800012207406E-2"/>
        <bgColor theme="4" tint="0.5999938962981048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2" borderId="0" applyNumberFormat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0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0" fontId="2" fillId="0" borderId="0" applyFill="0"/>
    <xf numFmtId="0" fontId="3" fillId="0" borderId="0"/>
    <xf numFmtId="9" fontId="3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36">
    <xf numFmtId="0" fontId="0" fillId="0" borderId="0" xfId="0"/>
    <xf numFmtId="166" fontId="5" fillId="3" borderId="1" xfId="8" applyNumberFormat="1" applyFont="1" applyFill="1" applyBorder="1"/>
    <xf numFmtId="166" fontId="5" fillId="4" borderId="2" xfId="8" applyNumberFormat="1" applyFont="1" applyFill="1" applyBorder="1"/>
    <xf numFmtId="0" fontId="3" fillId="0" borderId="0" xfId="8"/>
    <xf numFmtId="0" fontId="5" fillId="5" borderId="3" xfId="8" applyFont="1" applyFill="1" applyBorder="1"/>
    <xf numFmtId="0" fontId="5" fillId="6" borderId="0" xfId="8" applyFont="1" applyFill="1"/>
    <xf numFmtId="166" fontId="5" fillId="4" borderId="4" xfId="8" applyNumberFormat="1" applyFont="1" applyFill="1" applyBorder="1"/>
    <xf numFmtId="3" fontId="7" fillId="7" borderId="5" xfId="8" applyNumberFormat="1" applyFont="1" applyFill="1" applyBorder="1"/>
    <xf numFmtId="0" fontId="8" fillId="2" borderId="6" xfId="8" applyFont="1" applyFill="1" applyBorder="1"/>
    <xf numFmtId="0" fontId="8" fillId="3" borderId="3" xfId="8" applyFont="1" applyFill="1" applyBorder="1"/>
    <xf numFmtId="0" fontId="5" fillId="8" borderId="0" xfId="8" applyFont="1" applyFill="1"/>
    <xf numFmtId="0" fontId="3" fillId="0" borderId="0" xfId="8" applyProtection="1">
      <protection locked="0"/>
    </xf>
    <xf numFmtId="0" fontId="5" fillId="6" borderId="4" xfId="8" applyFont="1" applyFill="1" applyBorder="1"/>
    <xf numFmtId="0" fontId="5" fillId="6" borderId="2" xfId="8" applyFont="1" applyFill="1" applyBorder="1"/>
    <xf numFmtId="0" fontId="3" fillId="7" borderId="5" xfId="8" applyFill="1" applyBorder="1"/>
    <xf numFmtId="0" fontId="3" fillId="7" borderId="7" xfId="8" applyFill="1" applyBorder="1"/>
    <xf numFmtId="0" fontId="5" fillId="5" borderId="1" xfId="8" applyFont="1" applyFill="1" applyBorder="1"/>
    <xf numFmtId="0" fontId="9" fillId="4" borderId="2" xfId="8" applyFont="1" applyFill="1" applyBorder="1"/>
    <xf numFmtId="0" fontId="11" fillId="9" borderId="0" xfId="0" applyFont="1" applyFill="1"/>
    <xf numFmtId="49" fontId="6" fillId="9" borderId="6" xfId="1" applyNumberFormat="1" applyFont="1" applyFill="1" applyBorder="1" applyAlignment="1" applyProtection="1">
      <alignment horizontal="center"/>
    </xf>
    <xf numFmtId="49" fontId="6" fillId="9" borderId="2" xfId="1" applyNumberFormat="1" applyFont="1" applyFill="1" applyBorder="1" applyAlignment="1" applyProtection="1">
      <alignment horizontal="center"/>
    </xf>
    <xf numFmtId="0" fontId="6" fillId="9" borderId="2" xfId="1" applyFont="1" applyFill="1" applyBorder="1" applyAlignment="1" applyProtection="1">
      <alignment horizontal="center"/>
    </xf>
    <xf numFmtId="0" fontId="0" fillId="9" borderId="0" xfId="0" applyFill="1"/>
    <xf numFmtId="0" fontId="6" fillId="9" borderId="2" xfId="1" quotePrefix="1" applyNumberFormat="1" applyFont="1" applyFill="1" applyBorder="1" applyAlignment="1" applyProtection="1">
      <alignment horizontal="center"/>
    </xf>
    <xf numFmtId="165" fontId="6" fillId="9" borderId="2" xfId="1" applyNumberFormat="1" applyFont="1" applyFill="1" applyBorder="1" applyAlignment="1" applyProtection="1">
      <alignment horizontal="center"/>
    </xf>
    <xf numFmtId="3" fontId="0" fillId="0" borderId="0" xfId="0" applyNumberFormat="1"/>
    <xf numFmtId="0" fontId="5" fillId="10" borderId="3" xfId="8" applyFont="1" applyFill="1" applyBorder="1"/>
    <xf numFmtId="166" fontId="5" fillId="11" borderId="1" xfId="8" applyNumberFormat="1" applyFont="1" applyFill="1" applyBorder="1"/>
    <xf numFmtId="0" fontId="0" fillId="11" borderId="0" xfId="0" applyFill="1"/>
    <xf numFmtId="166" fontId="5" fillId="4" borderId="6" xfId="8" applyNumberFormat="1" applyFont="1" applyFill="1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1">
    <cellStyle name="20 % – uthevingsfarge 3" xfId="1" builtinId="38"/>
    <cellStyle name="Hyperkobling 2" xfId="2" xr:uid="{00000000-0005-0000-0000-000001000000}"/>
    <cellStyle name="Komma 2" xfId="3" xr:uid="{00000000-0005-0000-0000-000002000000}"/>
    <cellStyle name="Komma 3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Prosent 2" xfId="9" xr:uid="{00000000-0005-0000-0000-000009000000}"/>
    <cellStyle name="Tusenskille [0]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47625</xdr:rowOff>
    </xdr:from>
    <xdr:to>
      <xdr:col>1</xdr:col>
      <xdr:colOff>704850</xdr:colOff>
      <xdr:row>3</xdr:row>
      <xdr:rowOff>93980</xdr:rowOff>
    </xdr:to>
    <xdr:pic>
      <xdr:nvPicPr>
        <xdr:cNvPr id="2" name="Picture 29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050" y="47625"/>
          <a:ext cx="685800" cy="750570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09"/>
  <sheetViews>
    <sheetView showGridLines="0" tabSelected="1" topLeftCell="B1" workbookViewId="0">
      <pane ySplit="6" topLeftCell="A36" activePane="bottomLeft" state="frozen"/>
      <selection pane="bottomLeft" activeCell="K106" sqref="K106"/>
      <selection activeCell="B1" sqref="B1"/>
    </sheetView>
  </sheetViews>
  <sheetFormatPr defaultColWidth="11.42578125" defaultRowHeight="15" outlineLevelRow="2" outlineLevelCol="1"/>
  <cols>
    <col min="1" max="1" width="16.28515625" hidden="1" customWidth="1" outlineLevel="1"/>
    <col min="2" max="2" width="11.42578125" collapsed="1"/>
    <col min="3" max="3" width="37.28515625" customWidth="1"/>
    <col min="4" max="4" width="16.28515625" customWidth="1"/>
    <col min="5" max="5" width="16.28515625" hidden="1" customWidth="1" outlineLevel="1"/>
    <col min="6" max="6" width="16.28515625" hidden="1" customWidth="1" outlineLevel="1" collapsed="1"/>
    <col min="7" max="7" width="16.28515625" hidden="1" customWidth="1" outlineLevel="1"/>
    <col min="8" max="8" width="16.28515625" customWidth="1" collapsed="1"/>
    <col min="9" max="9" width="73.28515625" hidden="1" customWidth="1" outlineLevel="1"/>
    <col min="10" max="10" width="16.28515625" hidden="1" customWidth="1" outlineLevel="1"/>
    <col min="11" max="11" width="16.28515625" customWidth="1" collapsed="1"/>
    <col min="12" max="12" width="73.28515625" hidden="1" customWidth="1" outlineLevel="1"/>
    <col min="13" max="13" width="16.28515625" hidden="1" customWidth="1" outlineLevel="1"/>
    <col min="14" max="14" width="16.28515625" customWidth="1" collapsed="1"/>
    <col min="15" max="15" width="73.28515625" hidden="1" customWidth="1" outlineLevel="1"/>
    <col min="16" max="16" width="11.42578125" collapsed="1"/>
  </cols>
  <sheetData>
    <row r="2" spans="1:15" ht="23.25">
      <c r="C2" s="17" t="s">
        <v>0</v>
      </c>
    </row>
    <row r="5" spans="1:15">
      <c r="A5" s="18" t="s">
        <v>1</v>
      </c>
      <c r="B5" s="19" t="s">
        <v>2</v>
      </c>
      <c r="C5" s="20" t="s">
        <v>3</v>
      </c>
      <c r="D5" s="21" t="s">
        <v>4</v>
      </c>
      <c r="E5" s="21" t="s">
        <v>5</v>
      </c>
      <c r="F5" s="21" t="s">
        <v>1</v>
      </c>
      <c r="G5" s="21" t="s">
        <v>5</v>
      </c>
      <c r="H5" s="21" t="s">
        <v>6</v>
      </c>
      <c r="I5" s="22"/>
      <c r="J5" s="21" t="s">
        <v>5</v>
      </c>
      <c r="K5" s="21" t="s">
        <v>1</v>
      </c>
      <c r="L5" s="22"/>
      <c r="M5" s="21" t="s">
        <v>5</v>
      </c>
      <c r="N5" s="21" t="s">
        <v>1</v>
      </c>
      <c r="O5" s="22"/>
    </row>
    <row r="6" spans="1:15">
      <c r="A6" s="18" t="s">
        <v>7</v>
      </c>
      <c r="B6" s="19" t="s">
        <v>8</v>
      </c>
      <c r="C6" s="20" t="s">
        <v>9</v>
      </c>
      <c r="D6" s="23">
        <v>2025</v>
      </c>
      <c r="E6" s="24" t="s">
        <v>10</v>
      </c>
      <c r="F6" s="23">
        <v>2026</v>
      </c>
      <c r="G6" s="24" t="s">
        <v>11</v>
      </c>
      <c r="H6" s="23">
        <v>2026</v>
      </c>
      <c r="I6" s="18" t="s">
        <v>12</v>
      </c>
      <c r="J6" s="24" t="s">
        <v>13</v>
      </c>
      <c r="K6" s="23">
        <v>2027</v>
      </c>
      <c r="L6" s="18" t="s">
        <v>14</v>
      </c>
      <c r="M6" s="24" t="s">
        <v>15</v>
      </c>
      <c r="N6" s="23">
        <v>2028</v>
      </c>
      <c r="O6" s="18" t="s">
        <v>16</v>
      </c>
    </row>
    <row r="7" spans="1:15" hidden="1" outlineLevel="1">
      <c r="A7" t="s">
        <v>17</v>
      </c>
      <c r="B7" s="8">
        <v>15012</v>
      </c>
      <c r="C7" s="13" t="s">
        <v>18</v>
      </c>
      <c r="D7" s="2">
        <v>-829163.38</v>
      </c>
      <c r="E7" s="2">
        <f t="array" ref="E7">SUM(F7-D7)</f>
        <v>129163.38</v>
      </c>
      <c r="F7" s="2">
        <f>-700000*1</f>
        <v>-700000</v>
      </c>
      <c r="G7" s="2">
        <f>H7-F7</f>
        <v>0</v>
      </c>
      <c r="H7" s="2">
        <v>-700000</v>
      </c>
      <c r="I7" t="s">
        <v>19</v>
      </c>
      <c r="J7" s="2">
        <f>K7-H7</f>
        <v>0</v>
      </c>
      <c r="K7" s="2">
        <v>-700000</v>
      </c>
      <c r="L7" t="s">
        <v>20</v>
      </c>
      <c r="M7" s="2">
        <f>N7-K7</f>
        <v>0</v>
      </c>
      <c r="N7" s="2">
        <v>-700000</v>
      </c>
      <c r="O7" t="s">
        <v>20</v>
      </c>
    </row>
    <row r="8" spans="1:15" hidden="1" outlineLevel="1">
      <c r="A8" t="s">
        <v>21</v>
      </c>
      <c r="B8" s="8">
        <v>50014</v>
      </c>
      <c r="C8" s="13" t="s">
        <v>22</v>
      </c>
      <c r="D8" s="2">
        <v>-116892130</v>
      </c>
      <c r="E8" s="2">
        <f t="array" ref="E8">SUM(F8-D8)</f>
        <v>-8666770</v>
      </c>
      <c r="F8" s="2">
        <f>-125558900*1</f>
        <v>-125558900</v>
      </c>
      <c r="G8" s="2">
        <f t="shared" ref="G8:G68" si="0">H8-F8</f>
        <v>541900</v>
      </c>
      <c r="H8" s="2">
        <v>-125017000</v>
      </c>
      <c r="I8" t="s">
        <v>23</v>
      </c>
      <c r="J8" s="2">
        <f t="shared" ref="J8:J68" si="1">K8-H8</f>
        <v>-10576000</v>
      </c>
      <c r="K8" s="2">
        <v>-135593000</v>
      </c>
      <c r="L8" t="s">
        <v>24</v>
      </c>
      <c r="M8" s="2">
        <f t="shared" ref="M8:M14" si="2">N8-K8</f>
        <v>-12436000</v>
      </c>
      <c r="N8" s="2">
        <v>-148029000</v>
      </c>
      <c r="O8" t="s">
        <v>24</v>
      </c>
    </row>
    <row r="9" spans="1:15" hidden="1" outlineLevel="1">
      <c r="A9" t="s">
        <v>21</v>
      </c>
      <c r="B9" s="8">
        <v>50015</v>
      </c>
      <c r="C9" s="13" t="s">
        <v>25</v>
      </c>
      <c r="D9" s="2">
        <v>-1500</v>
      </c>
      <c r="E9" s="2">
        <f t="array" ref="E9">SUM(F9-D9)</f>
        <v>1500</v>
      </c>
      <c r="F9" s="2">
        <f t="shared" ref="F9" si="3">0*1</f>
        <v>0</v>
      </c>
      <c r="G9" s="2">
        <f t="shared" si="0"/>
        <v>0</v>
      </c>
      <c r="H9" s="2">
        <v>0</v>
      </c>
      <c r="J9" s="2">
        <f t="shared" si="1"/>
        <v>0</v>
      </c>
      <c r="K9" s="2">
        <v>0</v>
      </c>
      <c r="M9" s="2">
        <f t="shared" si="2"/>
        <v>0</v>
      </c>
      <c r="N9" s="2">
        <v>0</v>
      </c>
    </row>
    <row r="10" spans="1:15" hidden="1" outlineLevel="1">
      <c r="A10" t="s">
        <v>21</v>
      </c>
      <c r="B10" s="8">
        <v>50016</v>
      </c>
      <c r="C10" s="13" t="s">
        <v>26</v>
      </c>
      <c r="D10" s="2">
        <v>-3932810.09</v>
      </c>
      <c r="E10" s="2">
        <f t="array" ref="E10">SUM(F10-D10)</f>
        <v>232810.08999999985</v>
      </c>
      <c r="F10" s="2">
        <v>-3700000</v>
      </c>
      <c r="G10" s="2">
        <f t="shared" si="0"/>
        <v>0</v>
      </c>
      <c r="H10" s="2">
        <v>-3700000</v>
      </c>
      <c r="I10" t="s">
        <v>27</v>
      </c>
      <c r="J10" s="2">
        <f t="shared" si="1"/>
        <v>-111000</v>
      </c>
      <c r="K10" s="2">
        <v>-3811000</v>
      </c>
      <c r="L10" t="s">
        <v>28</v>
      </c>
      <c r="M10" s="2">
        <f t="shared" si="2"/>
        <v>-114000</v>
      </c>
      <c r="N10" s="2">
        <v>-3925000</v>
      </c>
      <c r="O10" t="s">
        <v>28</v>
      </c>
    </row>
    <row r="11" spans="1:15" hidden="1" outlineLevel="1">
      <c r="A11" t="s">
        <v>21</v>
      </c>
      <c r="B11" s="8">
        <v>50024</v>
      </c>
      <c r="C11" s="13" t="s">
        <v>29</v>
      </c>
      <c r="D11" s="2">
        <v>-4000000</v>
      </c>
      <c r="E11" s="2">
        <f t="array" ref="E11">SUM(F11-D11)</f>
        <v>4000000</v>
      </c>
      <c r="F11" s="2">
        <v>0</v>
      </c>
      <c r="G11" s="2">
        <f t="shared" si="0"/>
        <v>0</v>
      </c>
      <c r="H11" s="2">
        <v>0</v>
      </c>
      <c r="I11" t="s">
        <v>30</v>
      </c>
      <c r="J11" s="2">
        <f t="shared" si="1"/>
        <v>0</v>
      </c>
      <c r="K11" s="2">
        <v>0</v>
      </c>
      <c r="L11" t="s">
        <v>30</v>
      </c>
      <c r="M11" s="2">
        <f t="shared" si="2"/>
        <v>0</v>
      </c>
      <c r="N11" s="2">
        <v>0</v>
      </c>
      <c r="O11" t="s">
        <v>30</v>
      </c>
    </row>
    <row r="12" spans="1:15" hidden="1" outlineLevel="1">
      <c r="A12" t="s">
        <v>31</v>
      </c>
      <c r="B12" s="8">
        <v>50028</v>
      </c>
      <c r="C12" s="13" t="s">
        <v>32</v>
      </c>
      <c r="D12" s="2">
        <v>244732</v>
      </c>
      <c r="E12" s="2">
        <f t="array" ref="E12">SUM(F12-D12)</f>
        <v>-144732</v>
      </c>
      <c r="F12" s="2">
        <f>100000*1</f>
        <v>100000</v>
      </c>
      <c r="G12" s="2">
        <f t="shared" si="0"/>
        <v>100000</v>
      </c>
      <c r="H12" s="2">
        <v>200000</v>
      </c>
      <c r="I12" t="s">
        <v>33</v>
      </c>
      <c r="J12" s="2">
        <f t="shared" si="1"/>
        <v>-100000</v>
      </c>
      <c r="K12" s="2">
        <v>100000</v>
      </c>
      <c r="L12" t="s">
        <v>34</v>
      </c>
      <c r="M12" s="2">
        <f t="shared" si="2"/>
        <v>0</v>
      </c>
      <c r="N12" s="2">
        <v>100000</v>
      </c>
      <c r="O12" t="s">
        <v>35</v>
      </c>
    </row>
    <row r="13" spans="1:15" hidden="1" outlineLevel="1">
      <c r="A13" t="s">
        <v>36</v>
      </c>
      <c r="B13" s="8">
        <v>50029</v>
      </c>
      <c r="C13" s="13" t="s">
        <v>37</v>
      </c>
      <c r="D13" s="2">
        <v>529201.48</v>
      </c>
      <c r="E13" s="2">
        <f t="array" ref="E13">SUM(F13-D13)</f>
        <v>-29201.479999999981</v>
      </c>
      <c r="F13" s="2">
        <f>500000*1</f>
        <v>500000</v>
      </c>
      <c r="G13" s="2">
        <f t="shared" si="0"/>
        <v>-300000</v>
      </c>
      <c r="H13" s="2">
        <v>200000</v>
      </c>
      <c r="I13" t="s">
        <v>38</v>
      </c>
      <c r="J13" s="2">
        <f t="shared" si="1"/>
        <v>-200000</v>
      </c>
      <c r="K13" s="2">
        <v>0</v>
      </c>
      <c r="L13" t="s">
        <v>39</v>
      </c>
      <c r="M13" s="2">
        <f t="shared" si="2"/>
        <v>-100000</v>
      </c>
      <c r="N13" s="2">
        <v>-100000</v>
      </c>
      <c r="O13" t="s">
        <v>39</v>
      </c>
    </row>
    <row r="14" spans="1:15" hidden="1" outlineLevel="1">
      <c r="A14" t="s">
        <v>21</v>
      </c>
      <c r="B14" s="8">
        <v>60052</v>
      </c>
      <c r="C14" s="13" t="s">
        <v>40</v>
      </c>
      <c r="D14" s="2">
        <v>-200000</v>
      </c>
      <c r="E14" s="2">
        <f t="array" ref="E14">SUM(F14-D14)</f>
        <v>-200000</v>
      </c>
      <c r="F14" s="2">
        <f>-400000*1</f>
        <v>-400000</v>
      </c>
      <c r="G14" s="2">
        <f t="shared" si="0"/>
        <v>-100000</v>
      </c>
      <c r="H14" s="2">
        <v>-500000</v>
      </c>
      <c r="J14" s="2">
        <f t="shared" si="1"/>
        <v>0</v>
      </c>
      <c r="K14" s="2">
        <v>-500000</v>
      </c>
      <c r="M14" s="2">
        <f t="shared" si="2"/>
        <v>0</v>
      </c>
      <c r="N14" s="2">
        <v>-500000</v>
      </c>
    </row>
    <row r="15" spans="1:15" collapsed="1">
      <c r="B15" s="9" t="s">
        <v>41</v>
      </c>
      <c r="C15" s="16"/>
      <c r="D15" s="1">
        <f>SUM(D7:D14)</f>
        <v>-125081669.98999999</v>
      </c>
      <c r="E15" s="1">
        <f>+F15-D15</f>
        <v>-4677230.0100000054</v>
      </c>
      <c r="F15" s="1">
        <f>SUM(F7:F14)</f>
        <v>-129758900</v>
      </c>
      <c r="G15" s="1">
        <f>SUM(G7:G14)</f>
        <v>241900</v>
      </c>
      <c r="H15" s="1">
        <f>SUM(H7:H14)</f>
        <v>-129517000</v>
      </c>
      <c r="I15" t="s">
        <v>42</v>
      </c>
      <c r="J15" s="1">
        <f>SUM(J7:J14)</f>
        <v>-10987000</v>
      </c>
      <c r="K15" s="1">
        <f>SUM(K7:K14)</f>
        <v>-140504000</v>
      </c>
      <c r="L15" t="s">
        <v>42</v>
      </c>
      <c r="M15" s="1">
        <f>SUM(M7:M14)</f>
        <v>-12650000</v>
      </c>
      <c r="N15" s="1">
        <f>SUM(N7:N14)</f>
        <v>-153154000</v>
      </c>
      <c r="O15" t="s">
        <v>42</v>
      </c>
    </row>
    <row r="16" spans="1:15" hidden="1" outlineLevel="1">
      <c r="A16" t="s">
        <v>43</v>
      </c>
      <c r="B16" s="8">
        <v>10022</v>
      </c>
      <c r="C16" s="12" t="s">
        <v>44</v>
      </c>
      <c r="D16" s="2">
        <v>161818</v>
      </c>
      <c r="E16" s="2">
        <f t="array" ref="E16">SUM(F16-D16)</f>
        <v>-1818</v>
      </c>
      <c r="F16" s="6">
        <f>160000*1</f>
        <v>160000</v>
      </c>
      <c r="G16" s="2">
        <f t="shared" si="0"/>
        <v>0</v>
      </c>
      <c r="H16" s="2">
        <v>160000</v>
      </c>
      <c r="I16" t="s">
        <v>45</v>
      </c>
      <c r="J16" s="2">
        <f t="shared" si="1"/>
        <v>5000</v>
      </c>
      <c r="K16" s="2">
        <v>165000</v>
      </c>
      <c r="L16" t="s">
        <v>28</v>
      </c>
      <c r="M16" s="2">
        <f t="shared" ref="M16:M41" si="4">N16-K16</f>
        <v>5000</v>
      </c>
      <c r="N16" s="2">
        <v>170000</v>
      </c>
      <c r="O16" t="s">
        <v>28</v>
      </c>
    </row>
    <row r="17" spans="1:15" hidden="1" outlineLevel="1">
      <c r="A17" t="s">
        <v>43</v>
      </c>
      <c r="B17" s="8">
        <v>10024</v>
      </c>
      <c r="C17" s="12" t="s">
        <v>46</v>
      </c>
      <c r="D17" s="2">
        <v>238215.66</v>
      </c>
      <c r="E17" s="2">
        <f t="array" ref="E17">SUM(F17-D17)</f>
        <v>61784.34</v>
      </c>
      <c r="F17" s="6">
        <f>300000*1</f>
        <v>300000</v>
      </c>
      <c r="G17" s="2">
        <f t="shared" si="0"/>
        <v>0</v>
      </c>
      <c r="H17" s="2">
        <v>300000</v>
      </c>
      <c r="J17" s="2">
        <f t="shared" si="1"/>
        <v>9000</v>
      </c>
      <c r="K17" s="2">
        <v>309000</v>
      </c>
      <c r="L17" t="s">
        <v>28</v>
      </c>
      <c r="M17" s="2">
        <f t="shared" si="4"/>
        <v>9000</v>
      </c>
      <c r="N17" s="2">
        <v>318000</v>
      </c>
      <c r="O17" t="s">
        <v>28</v>
      </c>
    </row>
    <row r="18" spans="1:15" hidden="1" outlineLevel="1">
      <c r="A18" t="s">
        <v>43</v>
      </c>
      <c r="B18" s="8">
        <v>10026</v>
      </c>
      <c r="C18" s="12" t="s">
        <v>47</v>
      </c>
      <c r="D18" s="2">
        <v>150999.95000000001</v>
      </c>
      <c r="E18" s="2">
        <f t="array" ref="E18">SUM(F18-D18)</f>
        <v>49000.049999999988</v>
      </c>
      <c r="F18" s="6">
        <f>200000*1</f>
        <v>200000</v>
      </c>
      <c r="G18" s="2">
        <f t="shared" si="0"/>
        <v>-100000</v>
      </c>
      <c r="H18" s="2">
        <v>100000</v>
      </c>
      <c r="J18" s="2">
        <f t="shared" si="1"/>
        <v>50000</v>
      </c>
      <c r="K18" s="2">
        <v>150000</v>
      </c>
      <c r="L18" t="s">
        <v>28</v>
      </c>
      <c r="M18" s="2">
        <f t="shared" si="4"/>
        <v>5000</v>
      </c>
      <c r="N18" s="2">
        <v>155000</v>
      </c>
      <c r="O18" t="s">
        <v>28</v>
      </c>
    </row>
    <row r="19" spans="1:15" hidden="1" outlineLevel="1">
      <c r="A19" t="s">
        <v>48</v>
      </c>
      <c r="B19" s="8">
        <v>10028</v>
      </c>
      <c r="C19" s="12" t="s">
        <v>49</v>
      </c>
      <c r="D19" s="2">
        <v>251877.41</v>
      </c>
      <c r="E19" s="2">
        <f t="array" ref="E19">SUM(F19-D19)</f>
        <v>148122.59</v>
      </c>
      <c r="F19" s="6">
        <f>400000*1</f>
        <v>400000</v>
      </c>
      <c r="G19" s="2">
        <f t="shared" si="0"/>
        <v>-150000</v>
      </c>
      <c r="H19" s="2">
        <v>250000</v>
      </c>
      <c r="I19" t="s">
        <v>50</v>
      </c>
      <c r="J19" s="2">
        <f t="shared" si="1"/>
        <v>150000</v>
      </c>
      <c r="K19" s="2">
        <v>400000</v>
      </c>
      <c r="L19" t="s">
        <v>20</v>
      </c>
      <c r="M19" s="2">
        <f t="shared" si="4"/>
        <v>0</v>
      </c>
      <c r="N19" s="2">
        <v>400000</v>
      </c>
      <c r="O19" t="s">
        <v>20</v>
      </c>
    </row>
    <row r="20" spans="1:15" hidden="1" outlineLevel="1">
      <c r="A20" t="s">
        <v>43</v>
      </c>
      <c r="B20" s="8">
        <v>10047</v>
      </c>
      <c r="C20" s="12" t="s">
        <v>51</v>
      </c>
      <c r="D20" s="2">
        <v>344340.5</v>
      </c>
      <c r="E20" s="2">
        <f t="array" ref="E20">SUM(F20-D20)</f>
        <v>283659.5</v>
      </c>
      <c r="F20" s="6">
        <f>628000*1</f>
        <v>628000</v>
      </c>
      <c r="G20" s="2">
        <f t="shared" si="0"/>
        <v>241591.08999999997</v>
      </c>
      <c r="H20" s="2">
        <v>869591.09</v>
      </c>
      <c r="I20" t="s">
        <v>52</v>
      </c>
      <c r="J20" s="2">
        <f t="shared" si="1"/>
        <v>-191591.08999999997</v>
      </c>
      <c r="K20" s="2">
        <v>678000</v>
      </c>
      <c r="L20" t="s">
        <v>53</v>
      </c>
      <c r="M20" s="2">
        <f t="shared" si="4"/>
        <v>62100</v>
      </c>
      <c r="N20" s="2">
        <v>740100</v>
      </c>
      <c r="O20" t="s">
        <v>53</v>
      </c>
    </row>
    <row r="21" spans="1:15" hidden="1" outlineLevel="1">
      <c r="A21" t="s">
        <v>54</v>
      </c>
      <c r="B21" s="8">
        <v>10048</v>
      </c>
      <c r="C21" s="12" t="s">
        <v>55</v>
      </c>
      <c r="D21" s="2">
        <v>210000</v>
      </c>
      <c r="E21" s="2">
        <f t="array" ref="E21">SUM(F21-D21)</f>
        <v>-35000</v>
      </c>
      <c r="F21" s="6">
        <f>175000*1</f>
        <v>175000</v>
      </c>
      <c r="G21" s="2">
        <f t="shared" si="0"/>
        <v>-15000</v>
      </c>
      <c r="H21" s="2">
        <v>160000</v>
      </c>
      <c r="I21" t="s">
        <v>56</v>
      </c>
      <c r="J21" s="2">
        <f t="shared" si="1"/>
        <v>160000</v>
      </c>
      <c r="K21" s="2">
        <v>320000</v>
      </c>
      <c r="L21" t="s">
        <v>57</v>
      </c>
      <c r="M21" s="2">
        <f t="shared" si="4"/>
        <v>0</v>
      </c>
      <c r="N21" s="2">
        <v>320000</v>
      </c>
      <c r="O21" t="s">
        <v>57</v>
      </c>
    </row>
    <row r="22" spans="1:15" hidden="1" outlineLevel="1">
      <c r="A22" t="s">
        <v>43</v>
      </c>
      <c r="B22" s="8">
        <v>10054</v>
      </c>
      <c r="C22" s="12" t="s">
        <v>58</v>
      </c>
      <c r="D22" s="2">
        <v>10774.53</v>
      </c>
      <c r="E22" s="2">
        <f t="array" ref="E22">SUM(F22-D22)</f>
        <v>4225.4699999999993</v>
      </c>
      <c r="F22" s="6">
        <f>15000*1</f>
        <v>15000</v>
      </c>
      <c r="G22" s="2">
        <f t="shared" si="0"/>
        <v>-1824.3199999999997</v>
      </c>
      <c r="H22" s="2">
        <v>13175.68</v>
      </c>
      <c r="J22" s="2">
        <f t="shared" si="1"/>
        <v>824.31999999999971</v>
      </c>
      <c r="K22" s="2">
        <v>14000</v>
      </c>
      <c r="L22" t="s">
        <v>28</v>
      </c>
      <c r="M22" s="2">
        <f t="shared" si="4"/>
        <v>0</v>
      </c>
      <c r="N22" s="2">
        <v>14000</v>
      </c>
      <c r="O22" t="s">
        <v>28</v>
      </c>
    </row>
    <row r="23" spans="1:15" hidden="1" outlineLevel="1">
      <c r="A23" t="s">
        <v>54</v>
      </c>
      <c r="B23" s="8">
        <v>10069</v>
      </c>
      <c r="C23" s="12" t="s">
        <v>59</v>
      </c>
      <c r="D23" s="2">
        <v>310798.15000000002</v>
      </c>
      <c r="E23" s="2">
        <f t="array" ref="E23">SUM(F23-D23)</f>
        <v>89201.849999999977</v>
      </c>
      <c r="F23" s="6">
        <f>400000*1</f>
        <v>400000</v>
      </c>
      <c r="G23" s="2">
        <f t="shared" si="0"/>
        <v>-100000</v>
      </c>
      <c r="H23" s="2">
        <v>300000</v>
      </c>
      <c r="I23" t="s">
        <v>60</v>
      </c>
      <c r="J23" s="2">
        <f t="shared" si="1"/>
        <v>100000</v>
      </c>
      <c r="K23" s="2">
        <v>400000</v>
      </c>
      <c r="L23" t="s">
        <v>61</v>
      </c>
      <c r="M23" s="2">
        <f t="shared" si="4"/>
        <v>0</v>
      </c>
      <c r="N23" s="2">
        <v>400000</v>
      </c>
      <c r="O23" t="s">
        <v>61</v>
      </c>
    </row>
    <row r="24" spans="1:15" hidden="1" outlineLevel="1">
      <c r="A24" t="s">
        <v>62</v>
      </c>
      <c r="B24" s="8">
        <v>10070</v>
      </c>
      <c r="C24" s="12" t="s">
        <v>63</v>
      </c>
      <c r="D24" s="2">
        <v>255699.57</v>
      </c>
      <c r="E24" s="2">
        <f t="array" ref="E24">SUM(F24-D24)</f>
        <v>44300.429999999993</v>
      </c>
      <c r="F24" s="6">
        <f>300000*1</f>
        <v>300000</v>
      </c>
      <c r="G24" s="2">
        <f t="shared" si="0"/>
        <v>50000</v>
      </c>
      <c r="H24" s="2">
        <v>350000</v>
      </c>
      <c r="I24" t="s">
        <v>64</v>
      </c>
      <c r="J24" s="2">
        <f t="shared" si="1"/>
        <v>11000</v>
      </c>
      <c r="K24" s="2">
        <v>361000</v>
      </c>
      <c r="L24" t="s">
        <v>28</v>
      </c>
      <c r="M24" s="2">
        <f t="shared" si="4"/>
        <v>11000</v>
      </c>
      <c r="N24" s="2">
        <v>372000</v>
      </c>
      <c r="O24" t="s">
        <v>28</v>
      </c>
    </row>
    <row r="25" spans="1:15" hidden="1" outlineLevel="1">
      <c r="A25" t="s">
        <v>65</v>
      </c>
      <c r="B25" s="8">
        <v>10073</v>
      </c>
      <c r="C25" s="12" t="s">
        <v>66</v>
      </c>
      <c r="D25" s="2">
        <v>4504635.26</v>
      </c>
      <c r="E25" s="2">
        <f t="array" ref="E25">SUM(F25-D25)</f>
        <v>423264.74000000022</v>
      </c>
      <c r="F25" s="6">
        <f>4927900*1</f>
        <v>4927900</v>
      </c>
      <c r="G25" s="2">
        <f t="shared" si="0"/>
        <v>-77900</v>
      </c>
      <c r="H25" s="2">
        <v>4850000</v>
      </c>
      <c r="J25" s="2">
        <f t="shared" si="1"/>
        <v>146000</v>
      </c>
      <c r="K25" s="2">
        <v>4996000</v>
      </c>
      <c r="L25" t="s">
        <v>28</v>
      </c>
      <c r="M25" s="2">
        <f t="shared" si="4"/>
        <v>150000</v>
      </c>
      <c r="N25" s="2">
        <v>5146000</v>
      </c>
      <c r="O25" t="s">
        <v>28</v>
      </c>
    </row>
    <row r="26" spans="1:15" hidden="1" outlineLevel="1">
      <c r="A26" t="s">
        <v>65</v>
      </c>
      <c r="B26" s="8">
        <v>10074</v>
      </c>
      <c r="C26" s="12" t="s">
        <v>67</v>
      </c>
      <c r="D26" s="2">
        <v>63171.8</v>
      </c>
      <c r="E26" s="2">
        <f t="array" ref="E26">SUM(F26-D26)</f>
        <v>86828.2</v>
      </c>
      <c r="F26" s="6">
        <f>150000*1</f>
        <v>150000</v>
      </c>
      <c r="G26" s="2">
        <f t="shared" si="0"/>
        <v>-130000</v>
      </c>
      <c r="H26" s="2">
        <v>20000</v>
      </c>
      <c r="J26" s="2">
        <f t="shared" si="1"/>
        <v>-20000</v>
      </c>
      <c r="K26" s="2">
        <v>0</v>
      </c>
      <c r="M26" s="2">
        <f t="shared" si="4"/>
        <v>0</v>
      </c>
      <c r="N26" s="2">
        <v>0</v>
      </c>
    </row>
    <row r="27" spans="1:15" hidden="1" outlineLevel="1">
      <c r="A27" t="s">
        <v>68</v>
      </c>
      <c r="B27" s="8">
        <v>10075</v>
      </c>
      <c r="C27" s="12" t="s">
        <v>69</v>
      </c>
      <c r="D27" s="2">
        <v>702405.58</v>
      </c>
      <c r="E27" s="2">
        <f t="array" ref="E27">SUM(F27-D27)</f>
        <v>197594.42000000004</v>
      </c>
      <c r="F27" s="6">
        <f>900000*1</f>
        <v>900000</v>
      </c>
      <c r="G27" s="2">
        <f t="shared" si="0"/>
        <v>-300000</v>
      </c>
      <c r="H27" s="2">
        <v>600000</v>
      </c>
      <c r="I27" t="s">
        <v>70</v>
      </c>
      <c r="J27" s="2">
        <f t="shared" si="1"/>
        <v>300000</v>
      </c>
      <c r="K27" s="2">
        <v>900000</v>
      </c>
      <c r="L27" t="s">
        <v>20</v>
      </c>
      <c r="M27" s="2">
        <f t="shared" si="4"/>
        <v>0</v>
      </c>
      <c r="N27" s="2">
        <v>900000</v>
      </c>
      <c r="O27" t="s">
        <v>20</v>
      </c>
    </row>
    <row r="28" spans="1:15" hidden="1" outlineLevel="1">
      <c r="A28" t="s">
        <v>54</v>
      </c>
      <c r="B28" s="8">
        <v>10077</v>
      </c>
      <c r="C28" s="12" t="s">
        <v>71</v>
      </c>
      <c r="D28" s="2">
        <v>700</v>
      </c>
      <c r="E28" s="2">
        <f t="array" ref="E28">SUM(F28-D28)</f>
        <v>-700</v>
      </c>
      <c r="F28" s="6">
        <f t="shared" ref="F28" si="5">0*1</f>
        <v>0</v>
      </c>
      <c r="G28" s="2">
        <f t="shared" si="0"/>
        <v>1225</v>
      </c>
      <c r="H28" s="2">
        <v>1225</v>
      </c>
      <c r="J28" s="2">
        <f t="shared" si="1"/>
        <v>2498775</v>
      </c>
      <c r="K28" s="2">
        <v>2500000</v>
      </c>
      <c r="L28" t="s">
        <v>72</v>
      </c>
      <c r="M28" s="2">
        <f t="shared" si="4"/>
        <v>-2500000</v>
      </c>
      <c r="N28" s="2">
        <v>0</v>
      </c>
    </row>
    <row r="29" spans="1:15" hidden="1" outlineLevel="1">
      <c r="A29" t="s">
        <v>62</v>
      </c>
      <c r="B29" s="8">
        <v>10079</v>
      </c>
      <c r="C29" s="12" t="s">
        <v>73</v>
      </c>
      <c r="D29" s="2">
        <v>73535.7</v>
      </c>
      <c r="E29" s="2">
        <f t="array" ref="E29">SUM(F29-D29)</f>
        <v>126464.3</v>
      </c>
      <c r="F29" s="6">
        <f>200000*1</f>
        <v>200000</v>
      </c>
      <c r="G29" s="2">
        <f t="shared" si="0"/>
        <v>-200000</v>
      </c>
      <c r="H29" s="2">
        <v>0</v>
      </c>
      <c r="I29" t="s">
        <v>74</v>
      </c>
      <c r="J29" s="2">
        <f t="shared" si="1"/>
        <v>0</v>
      </c>
      <c r="K29" s="2">
        <v>0</v>
      </c>
      <c r="M29" s="2">
        <f t="shared" si="4"/>
        <v>0</v>
      </c>
      <c r="N29" s="2">
        <v>0</v>
      </c>
    </row>
    <row r="30" spans="1:15" hidden="1" outlineLevel="1">
      <c r="A30" t="s">
        <v>54</v>
      </c>
      <c r="B30" s="8">
        <v>10081</v>
      </c>
      <c r="C30" s="12" t="s">
        <v>75</v>
      </c>
      <c r="D30" s="2">
        <v>0</v>
      </c>
      <c r="E30" s="2">
        <f t="array" ref="E30">SUM(F30-D30)</f>
        <v>50000</v>
      </c>
      <c r="F30" s="6">
        <f>50000*1</f>
        <v>50000</v>
      </c>
      <c r="G30" s="2">
        <f t="shared" si="0"/>
        <v>-50000</v>
      </c>
      <c r="H30" s="2">
        <v>0</v>
      </c>
      <c r="J30" s="2">
        <f t="shared" si="1"/>
        <v>0</v>
      </c>
      <c r="K30" s="2">
        <v>0</v>
      </c>
      <c r="M30" s="2">
        <f t="shared" si="4"/>
        <v>0</v>
      </c>
      <c r="N30" s="2">
        <v>0</v>
      </c>
    </row>
    <row r="31" spans="1:15" hidden="1" outlineLevel="1">
      <c r="A31" t="s">
        <v>76</v>
      </c>
      <c r="B31" s="8">
        <v>10083</v>
      </c>
      <c r="C31" s="12" t="s">
        <v>77</v>
      </c>
      <c r="D31" s="2">
        <v>238677.21</v>
      </c>
      <c r="E31" s="2">
        <f t="array" ref="E31">SUM(F31-D31)</f>
        <v>61322.790000000008</v>
      </c>
      <c r="F31" s="6">
        <f>300000*1</f>
        <v>300000</v>
      </c>
      <c r="G31" s="2">
        <f t="shared" si="0"/>
        <v>0</v>
      </c>
      <c r="H31" s="2">
        <v>300000</v>
      </c>
      <c r="J31" s="2">
        <f t="shared" si="1"/>
        <v>0</v>
      </c>
      <c r="K31" s="2">
        <v>300000</v>
      </c>
      <c r="L31" t="s">
        <v>20</v>
      </c>
      <c r="M31" s="2">
        <f t="shared" si="4"/>
        <v>0</v>
      </c>
      <c r="N31" s="2">
        <v>300000</v>
      </c>
      <c r="O31" t="s">
        <v>20</v>
      </c>
    </row>
    <row r="32" spans="1:15" hidden="1" outlineLevel="1">
      <c r="A32" t="s">
        <v>21</v>
      </c>
      <c r="B32" s="8">
        <v>50013</v>
      </c>
      <c r="C32" s="12" t="s">
        <v>78</v>
      </c>
      <c r="D32" s="2">
        <v>4012874</v>
      </c>
      <c r="E32" s="2">
        <f t="array" ref="E32">SUM(F32-D32)</f>
        <v>294326</v>
      </c>
      <c r="F32" s="6">
        <f>4307200*1</f>
        <v>4307200</v>
      </c>
      <c r="G32" s="2">
        <f t="shared" si="0"/>
        <v>-338462</v>
      </c>
      <c r="H32" s="2">
        <v>3968738</v>
      </c>
      <c r="I32" t="s">
        <v>79</v>
      </c>
      <c r="J32" s="2">
        <f t="shared" si="1"/>
        <v>307062</v>
      </c>
      <c r="K32" s="2">
        <v>4275800</v>
      </c>
      <c r="L32" t="s">
        <v>80</v>
      </c>
      <c r="M32" s="2">
        <f t="shared" si="4"/>
        <v>438300</v>
      </c>
      <c r="N32" s="2">
        <v>4714100</v>
      </c>
      <c r="O32" t="s">
        <v>81</v>
      </c>
    </row>
    <row r="33" spans="1:15" hidden="1" outlineLevel="1">
      <c r="A33" t="s">
        <v>65</v>
      </c>
      <c r="B33" s="8">
        <v>50040</v>
      </c>
      <c r="C33" s="12" t="s">
        <v>82</v>
      </c>
      <c r="D33" s="2">
        <v>725623.89</v>
      </c>
      <c r="E33" s="2">
        <f t="array" ref="E33">SUM(F33-D33)</f>
        <v>74376.109999999986</v>
      </c>
      <c r="F33" s="6">
        <f>800000*1</f>
        <v>800000</v>
      </c>
      <c r="G33" s="2">
        <f t="shared" si="0"/>
        <v>200000</v>
      </c>
      <c r="H33" s="2">
        <v>1000000</v>
      </c>
      <c r="I33" t="s">
        <v>83</v>
      </c>
      <c r="J33" s="2">
        <f t="shared" si="1"/>
        <v>100000</v>
      </c>
      <c r="K33" s="2">
        <v>1100000</v>
      </c>
      <c r="L33" t="s">
        <v>84</v>
      </c>
      <c r="M33" s="2">
        <f t="shared" si="4"/>
        <v>33000</v>
      </c>
      <c r="N33" s="2">
        <v>1133000</v>
      </c>
      <c r="O33" t="s">
        <v>28</v>
      </c>
    </row>
    <row r="34" spans="1:15" hidden="1" outlineLevel="1">
      <c r="A34" t="s">
        <v>65</v>
      </c>
      <c r="B34" s="8">
        <v>50041</v>
      </c>
      <c r="C34" s="12" t="s">
        <v>85</v>
      </c>
      <c r="D34" s="2">
        <v>1647.32</v>
      </c>
      <c r="E34" s="2">
        <f t="array" ref="E34">SUM(F34-D34)</f>
        <v>1698352.68</v>
      </c>
      <c r="F34" s="6">
        <f>1700000*1</f>
        <v>1700000</v>
      </c>
      <c r="G34" s="2">
        <f t="shared" si="0"/>
        <v>300000</v>
      </c>
      <c r="H34" s="2">
        <v>2000000</v>
      </c>
      <c r="I34" t="s">
        <v>86</v>
      </c>
      <c r="J34" s="2">
        <f t="shared" si="1"/>
        <v>-2000000</v>
      </c>
      <c r="K34" s="2">
        <v>0</v>
      </c>
      <c r="M34" s="2">
        <f t="shared" si="4"/>
        <v>2122000</v>
      </c>
      <c r="N34" s="2">
        <v>2122000</v>
      </c>
      <c r="O34" t="s">
        <v>87</v>
      </c>
    </row>
    <row r="35" spans="1:15" hidden="1" outlineLevel="1">
      <c r="A35" t="s">
        <v>65</v>
      </c>
      <c r="B35" s="8">
        <v>50053</v>
      </c>
      <c r="C35" s="12" t="s">
        <v>88</v>
      </c>
      <c r="D35" s="2">
        <v>23750</v>
      </c>
      <c r="E35" s="2">
        <f t="array" ref="E35">SUM(F35-D35)</f>
        <v>1250</v>
      </c>
      <c r="F35" s="6">
        <f>25000*1</f>
        <v>25000</v>
      </c>
      <c r="G35" s="2">
        <f t="shared" si="0"/>
        <v>-606</v>
      </c>
      <c r="H35" s="2">
        <v>24394</v>
      </c>
      <c r="J35" s="2">
        <f t="shared" si="1"/>
        <v>606</v>
      </c>
      <c r="K35" s="2">
        <v>25000</v>
      </c>
      <c r="L35" t="s">
        <v>20</v>
      </c>
      <c r="M35" s="2">
        <f t="shared" si="4"/>
        <v>0</v>
      </c>
      <c r="N35" s="2">
        <v>25000</v>
      </c>
      <c r="O35" t="s">
        <v>20</v>
      </c>
    </row>
    <row r="36" spans="1:15" hidden="1" outlineLevel="1">
      <c r="A36" t="s">
        <v>65</v>
      </c>
      <c r="B36" s="8">
        <v>50057</v>
      </c>
      <c r="C36" s="12" t="s">
        <v>89</v>
      </c>
      <c r="D36" s="2">
        <v>96420.72</v>
      </c>
      <c r="E36" s="2">
        <f t="array" ref="E36">SUM(F36-D36)</f>
        <v>53579.28</v>
      </c>
      <c r="F36" s="6">
        <f>150000*1</f>
        <v>150000</v>
      </c>
      <c r="G36" s="2">
        <f t="shared" si="0"/>
        <v>0</v>
      </c>
      <c r="H36" s="2">
        <v>150000</v>
      </c>
      <c r="J36" s="2">
        <f t="shared" si="1"/>
        <v>5000</v>
      </c>
      <c r="K36" s="2">
        <v>155000</v>
      </c>
      <c r="L36" t="s">
        <v>28</v>
      </c>
      <c r="M36" s="2">
        <f t="shared" si="4"/>
        <v>5000</v>
      </c>
      <c r="N36" s="2">
        <v>160000</v>
      </c>
      <c r="O36" t="s">
        <v>28</v>
      </c>
    </row>
    <row r="37" spans="1:15" hidden="1" outlineLevel="1">
      <c r="A37" t="s">
        <v>65</v>
      </c>
      <c r="B37" s="8">
        <v>50062</v>
      </c>
      <c r="C37" s="12" t="s">
        <v>90</v>
      </c>
      <c r="D37" s="2">
        <v>70161.3</v>
      </c>
      <c r="E37" s="2">
        <f t="array" ref="E37">SUM(F37-D37)</f>
        <v>129838.7</v>
      </c>
      <c r="F37" s="6">
        <f>200000*1</f>
        <v>200000</v>
      </c>
      <c r="G37" s="2">
        <f t="shared" si="0"/>
        <v>-100000</v>
      </c>
      <c r="H37" s="2">
        <v>100000</v>
      </c>
      <c r="I37" t="s">
        <v>91</v>
      </c>
      <c r="J37" s="2">
        <f t="shared" si="1"/>
        <v>100000</v>
      </c>
      <c r="K37" s="2">
        <v>200000</v>
      </c>
      <c r="L37" t="s">
        <v>20</v>
      </c>
      <c r="M37" s="2">
        <f t="shared" si="4"/>
        <v>6000</v>
      </c>
      <c r="N37" s="2">
        <v>206000</v>
      </c>
      <c r="O37" t="s">
        <v>28</v>
      </c>
    </row>
    <row r="38" spans="1:15" hidden="1" outlineLevel="1">
      <c r="A38" t="s">
        <v>65</v>
      </c>
      <c r="B38" s="8">
        <v>50081</v>
      </c>
      <c r="C38" s="12" t="s">
        <v>92</v>
      </c>
      <c r="D38" s="2">
        <v>173121.22</v>
      </c>
      <c r="E38" s="2">
        <f t="array" ref="E38">SUM(F38-D38)</f>
        <v>6924.7799999999988</v>
      </c>
      <c r="F38" s="6">
        <f>180046*1</f>
        <v>180046</v>
      </c>
      <c r="G38" s="2">
        <f t="shared" si="0"/>
        <v>-49573.320000000007</v>
      </c>
      <c r="H38" s="2">
        <v>130472.68</v>
      </c>
      <c r="I38" t="s">
        <v>93</v>
      </c>
      <c r="J38" s="2">
        <f t="shared" si="1"/>
        <v>-130472.68</v>
      </c>
      <c r="K38" s="2">
        <v>0</v>
      </c>
      <c r="L38" t="s">
        <v>94</v>
      </c>
      <c r="M38" s="2">
        <f t="shared" si="4"/>
        <v>0</v>
      </c>
      <c r="N38" s="2">
        <v>0</v>
      </c>
      <c r="O38" t="s">
        <v>94</v>
      </c>
    </row>
    <row r="39" spans="1:15" hidden="1" outlineLevel="1">
      <c r="A39" t="s">
        <v>21</v>
      </c>
      <c r="B39" s="8">
        <v>50085</v>
      </c>
      <c r="C39" s="12" t="s">
        <v>95</v>
      </c>
      <c r="D39" s="2">
        <v>151090.35</v>
      </c>
      <c r="E39" s="2">
        <f t="array" ref="E39">SUM(F39-D39)</f>
        <v>-1090.3500000000058</v>
      </c>
      <c r="F39" s="6">
        <f>150000*1</f>
        <v>150000</v>
      </c>
      <c r="G39" s="2">
        <f t="shared" si="0"/>
        <v>0</v>
      </c>
      <c r="H39" s="2">
        <v>150000</v>
      </c>
      <c r="I39" t="s">
        <v>96</v>
      </c>
      <c r="J39" s="2">
        <f t="shared" si="1"/>
        <v>5000</v>
      </c>
      <c r="K39" s="2">
        <v>155000</v>
      </c>
      <c r="L39" t="s">
        <v>28</v>
      </c>
      <c r="M39" s="2">
        <f t="shared" si="4"/>
        <v>5000</v>
      </c>
      <c r="N39" s="2">
        <v>160000</v>
      </c>
      <c r="O39" t="s">
        <v>28</v>
      </c>
    </row>
    <row r="40" spans="1:15" hidden="1" outlineLevel="1">
      <c r="A40" t="s">
        <v>97</v>
      </c>
      <c r="B40" s="8">
        <v>60018</v>
      </c>
      <c r="C40" s="12" t="s">
        <v>98</v>
      </c>
      <c r="D40" s="2">
        <v>0</v>
      </c>
      <c r="E40" s="2">
        <f t="array" ref="E40">SUM(F40-D40)</f>
        <v>50000</v>
      </c>
      <c r="F40" s="6">
        <f>50000*1</f>
        <v>50000</v>
      </c>
      <c r="G40" s="2">
        <f t="shared" si="0"/>
        <v>-37689</v>
      </c>
      <c r="H40" s="2">
        <v>12311</v>
      </c>
      <c r="J40" s="2">
        <f t="shared" si="1"/>
        <v>37689</v>
      </c>
      <c r="K40" s="2">
        <v>50000</v>
      </c>
      <c r="L40" t="s">
        <v>20</v>
      </c>
      <c r="M40" s="2">
        <f t="shared" si="4"/>
        <v>0</v>
      </c>
      <c r="N40" s="2">
        <v>50000</v>
      </c>
      <c r="O40" t="s">
        <v>20</v>
      </c>
    </row>
    <row r="41" spans="1:15" hidden="1" outlineLevel="1">
      <c r="A41" t="s">
        <v>21</v>
      </c>
      <c r="B41" s="8">
        <v>60045</v>
      </c>
      <c r="C41" s="12" t="s">
        <v>99</v>
      </c>
      <c r="D41" s="2">
        <v>283450.40999999997</v>
      </c>
      <c r="E41" s="2">
        <f t="array" ref="E41">SUM(F41-D41)</f>
        <v>16549.590000000026</v>
      </c>
      <c r="F41" s="6">
        <f>300000*1</f>
        <v>300000</v>
      </c>
      <c r="G41" s="2">
        <f t="shared" si="0"/>
        <v>0</v>
      </c>
      <c r="H41" s="2">
        <v>300000</v>
      </c>
      <c r="I41" t="s">
        <v>100</v>
      </c>
      <c r="J41" s="2">
        <f t="shared" si="1"/>
        <v>0</v>
      </c>
      <c r="K41" s="2">
        <v>300000</v>
      </c>
      <c r="L41" t="s">
        <v>20</v>
      </c>
      <c r="M41" s="2">
        <f t="shared" si="4"/>
        <v>0</v>
      </c>
      <c r="N41" s="2">
        <v>300000</v>
      </c>
      <c r="O41" t="s">
        <v>20</v>
      </c>
    </row>
    <row r="42" spans="1:15" collapsed="1">
      <c r="B42" s="9" t="s">
        <v>101</v>
      </c>
      <c r="C42" s="4"/>
      <c r="D42" s="1">
        <f>SUM(D16:D41)</f>
        <v>13055788.530000003</v>
      </c>
      <c r="E42" s="1">
        <f>+F42-D42</f>
        <v>3912357.4699999969</v>
      </c>
      <c r="F42" s="1">
        <f>SUM(F16:F41)</f>
        <v>16968146</v>
      </c>
      <c r="G42" s="1">
        <f>SUM(G16:G41)</f>
        <v>-858238.55</v>
      </c>
      <c r="H42" s="1">
        <f>SUM(H16:H41)</f>
        <v>16109907.449999999</v>
      </c>
      <c r="I42" t="s">
        <v>42</v>
      </c>
      <c r="J42" s="1">
        <f>SUM(J16:J41)</f>
        <v>1643892.55</v>
      </c>
      <c r="K42" s="1">
        <f>SUM(K16:K41)</f>
        <v>17753800</v>
      </c>
      <c r="L42" t="s">
        <v>42</v>
      </c>
      <c r="M42" s="1">
        <f>SUM(M16:M41)</f>
        <v>351400</v>
      </c>
      <c r="N42" s="1">
        <f>SUM(N16:N41)</f>
        <v>18105200</v>
      </c>
      <c r="O42" t="s">
        <v>42</v>
      </c>
    </row>
    <row r="43" spans="1:15" ht="15" hidden="1" customHeight="1" outlineLevel="1">
      <c r="B43" s="5"/>
      <c r="C43" s="6" t="s">
        <v>102</v>
      </c>
      <c r="D43" s="6">
        <f>1048989.88*1</f>
        <v>1048989.8799999999</v>
      </c>
      <c r="E43" s="2">
        <f t="array" ref="E43">SUM(F43-D43)</f>
        <v>247620.12000000011</v>
      </c>
      <c r="F43" s="6">
        <f>1296610*1</f>
        <v>1296610</v>
      </c>
      <c r="G43" s="2">
        <f t="shared" si="0"/>
        <v>0</v>
      </c>
      <c r="H43" s="2">
        <v>1296610</v>
      </c>
      <c r="I43" t="s">
        <v>42</v>
      </c>
      <c r="J43" s="2">
        <f t="shared" si="1"/>
        <v>-126410</v>
      </c>
      <c r="K43" s="2">
        <v>1170200</v>
      </c>
      <c r="L43" s="33" t="s">
        <v>103</v>
      </c>
      <c r="M43" s="29">
        <f t="shared" ref="M43:M47" si="6">N43-K43</f>
        <v>39300</v>
      </c>
      <c r="N43" s="2">
        <v>1209500</v>
      </c>
      <c r="O43" s="33" t="s">
        <v>104</v>
      </c>
    </row>
    <row r="44" spans="1:15" hidden="1" outlineLevel="1">
      <c r="B44" s="5"/>
      <c r="C44" s="6" t="s">
        <v>105</v>
      </c>
      <c r="D44" s="6">
        <f>1536671.52*1</f>
        <v>1536671.52</v>
      </c>
      <c r="E44" s="2">
        <f t="array" ref="E44">SUM(F44-D44)</f>
        <v>1432956.48</v>
      </c>
      <c r="F44" s="6">
        <f>2969628*1</f>
        <v>2969628</v>
      </c>
      <c r="G44" s="2">
        <f t="shared" si="0"/>
        <v>-902226</v>
      </c>
      <c r="H44" s="2">
        <v>2067402</v>
      </c>
      <c r="I44" t="s">
        <v>42</v>
      </c>
      <c r="J44" s="2">
        <f t="shared" si="1"/>
        <v>277698</v>
      </c>
      <c r="K44" s="2">
        <v>2345100</v>
      </c>
      <c r="L44" s="34"/>
      <c r="M44" s="29">
        <f t="shared" si="6"/>
        <v>146600</v>
      </c>
      <c r="N44" s="2">
        <v>2491700</v>
      </c>
      <c r="O44" s="34"/>
    </row>
    <row r="45" spans="1:15" hidden="1" outlineLevel="1">
      <c r="B45" s="5"/>
      <c r="C45" s="6" t="s">
        <v>106</v>
      </c>
      <c r="D45" s="6">
        <f>4904298.39*1</f>
        <v>4904298.3899999997</v>
      </c>
      <c r="E45" s="2">
        <f t="array" ref="E45">SUM(F45-D45)</f>
        <v>1628803.6100000003</v>
      </c>
      <c r="F45" s="6">
        <f>6533102*1</f>
        <v>6533102</v>
      </c>
      <c r="G45" s="2">
        <f t="shared" si="0"/>
        <v>-1146831</v>
      </c>
      <c r="H45" s="2">
        <v>5386271</v>
      </c>
      <c r="I45" t="s">
        <v>42</v>
      </c>
      <c r="J45" s="2">
        <f t="shared" si="1"/>
        <v>725029</v>
      </c>
      <c r="K45" s="2">
        <v>6111300</v>
      </c>
      <c r="L45" s="34"/>
      <c r="M45" s="29">
        <f t="shared" si="6"/>
        <v>448200</v>
      </c>
      <c r="N45" s="2">
        <v>6559500</v>
      </c>
      <c r="O45" s="34"/>
    </row>
    <row r="46" spans="1:15" hidden="1" outlineLevel="1">
      <c r="B46" s="5"/>
      <c r="C46" s="6" t="s">
        <v>107</v>
      </c>
      <c r="D46" s="6">
        <f>6139323.39*1</f>
        <v>6139323.3899999997</v>
      </c>
      <c r="E46" s="2">
        <f t="array" ref="E46">SUM(F46-D46)</f>
        <v>3293153.6100000003</v>
      </c>
      <c r="F46" s="6">
        <f>9432477*1</f>
        <v>9432477</v>
      </c>
      <c r="G46" s="2">
        <f t="shared" si="0"/>
        <v>-1511683.5</v>
      </c>
      <c r="H46" s="2">
        <v>7920793.5</v>
      </c>
      <c r="I46" t="s">
        <v>42</v>
      </c>
      <c r="J46" s="2">
        <f t="shared" si="1"/>
        <v>190406.5</v>
      </c>
      <c r="K46" s="2">
        <v>8111200</v>
      </c>
      <c r="L46" s="34"/>
      <c r="M46" s="29">
        <f t="shared" si="6"/>
        <v>632600</v>
      </c>
      <c r="N46" s="2">
        <v>8743800</v>
      </c>
      <c r="O46" s="34"/>
    </row>
    <row r="47" spans="1:15" hidden="1" outlineLevel="1">
      <c r="B47" s="5"/>
      <c r="C47" s="6" t="s">
        <v>108</v>
      </c>
      <c r="D47" s="6">
        <f>1036271.11*1</f>
        <v>1036271.11</v>
      </c>
      <c r="E47" s="2">
        <f t="array" ref="E47">SUM(F47-D47)</f>
        <v>422057.89</v>
      </c>
      <c r="F47" s="6">
        <f>1458329*1</f>
        <v>1458329</v>
      </c>
      <c r="G47" s="2">
        <f t="shared" si="0"/>
        <v>-282996</v>
      </c>
      <c r="H47" s="2">
        <v>1175333</v>
      </c>
      <c r="I47" t="s">
        <v>42</v>
      </c>
      <c r="J47" s="2">
        <f t="shared" si="1"/>
        <v>375067</v>
      </c>
      <c r="K47" s="2">
        <v>1550400</v>
      </c>
      <c r="L47" s="35"/>
      <c r="M47" s="29">
        <f t="shared" si="6"/>
        <v>77200</v>
      </c>
      <c r="N47" s="2">
        <v>1627600</v>
      </c>
      <c r="O47" s="35"/>
    </row>
    <row r="48" spans="1:15" collapsed="1">
      <c r="B48" s="4" t="s">
        <v>109</v>
      </c>
      <c r="C48" s="4"/>
      <c r="D48" s="1">
        <f>SUM(D43:D47)</f>
        <v>14665554.289999999</v>
      </c>
      <c r="E48" s="1">
        <f>+F48-D48</f>
        <v>7024591.7100000009</v>
      </c>
      <c r="F48" s="1">
        <f t="shared" ref="F48" si="7">SUM(F43:F47)</f>
        <v>21690146</v>
      </c>
      <c r="G48" s="1">
        <f t="shared" ref="G48:H48" si="8">SUM(G43:G47)</f>
        <v>-3843736.5</v>
      </c>
      <c r="H48" s="1">
        <f t="shared" si="8"/>
        <v>17846409.5</v>
      </c>
      <c r="I48" t="s">
        <v>42</v>
      </c>
      <c r="J48" s="1">
        <f t="shared" ref="J48" si="9">SUM(J43:J47)</f>
        <v>1441790.5</v>
      </c>
      <c r="K48" s="1">
        <f t="shared" ref="K48:N48" si="10">SUM(K43:K47)</f>
        <v>19288200</v>
      </c>
      <c r="L48" t="s">
        <v>42</v>
      </c>
      <c r="M48" s="1">
        <f t="shared" ref="M48" si="11">SUM(M43:M47)</f>
        <v>1343900</v>
      </c>
      <c r="N48" s="1">
        <f t="shared" si="10"/>
        <v>20632100</v>
      </c>
      <c r="O48" t="s">
        <v>42</v>
      </c>
    </row>
    <row r="49" spans="1:16" hidden="1" outlineLevel="2">
      <c r="A49" t="s">
        <v>21</v>
      </c>
      <c r="B49" s="5">
        <v>10010</v>
      </c>
      <c r="C49" s="10" t="s">
        <v>110</v>
      </c>
      <c r="D49" s="2">
        <v>9209853.1199999992</v>
      </c>
      <c r="E49" s="2">
        <f t="array" ref="E49">SUM(F49-D49)</f>
        <v>483146.91999999993</v>
      </c>
      <c r="F49" s="2">
        <f>9693000.04*1</f>
        <v>9693000.0399999991</v>
      </c>
      <c r="G49" s="2">
        <f t="shared" si="0"/>
        <v>-1214000.0399999991</v>
      </c>
      <c r="H49" s="2">
        <v>8479000</v>
      </c>
      <c r="I49" s="30" t="s">
        <v>111</v>
      </c>
      <c r="J49" s="2">
        <f t="shared" si="1"/>
        <v>1857000</v>
      </c>
      <c r="K49" s="2">
        <v>10336000</v>
      </c>
      <c r="L49" s="30" t="s">
        <v>112</v>
      </c>
      <c r="M49" s="29">
        <f t="shared" ref="M49:M52" si="12">N49-K49</f>
        <v>371000</v>
      </c>
      <c r="N49" s="2">
        <v>10707000</v>
      </c>
      <c r="O49" s="30" t="s">
        <v>113</v>
      </c>
    </row>
    <row r="50" spans="1:16" hidden="1" outlineLevel="2">
      <c r="A50" t="s">
        <v>21</v>
      </c>
      <c r="B50" s="5">
        <v>15010</v>
      </c>
      <c r="C50" s="10" t="s">
        <v>110</v>
      </c>
      <c r="D50" s="2">
        <v>2023050.13</v>
      </c>
      <c r="E50" s="2">
        <f t="array" ref="E50">SUM(F50-D50)</f>
        <v>838949.87000000011</v>
      </c>
      <c r="F50" s="2">
        <f>2862000*1</f>
        <v>2862000</v>
      </c>
      <c r="G50" s="2">
        <f t="shared" si="0"/>
        <v>-59000</v>
      </c>
      <c r="H50" s="2">
        <v>2803000</v>
      </c>
      <c r="I50" s="31"/>
      <c r="J50" s="2">
        <f t="shared" si="1"/>
        <v>-231000</v>
      </c>
      <c r="K50" s="2">
        <v>2572000</v>
      </c>
      <c r="L50" s="31"/>
      <c r="M50" s="29">
        <f t="shared" si="12"/>
        <v>105000</v>
      </c>
      <c r="N50" s="2">
        <v>2677000</v>
      </c>
      <c r="O50" s="31"/>
    </row>
    <row r="51" spans="1:16" hidden="1" outlineLevel="2">
      <c r="A51" t="s">
        <v>21</v>
      </c>
      <c r="B51" s="5">
        <v>50010</v>
      </c>
      <c r="C51" s="10" t="s">
        <v>110</v>
      </c>
      <c r="D51" s="2">
        <v>12897223.75</v>
      </c>
      <c r="E51" s="2">
        <f t="array" ref="E51">SUM(F51-D51)</f>
        <v>893776.25</v>
      </c>
      <c r="F51" s="2">
        <f>13791000*1</f>
        <v>13791000</v>
      </c>
      <c r="G51" s="2">
        <f t="shared" si="0"/>
        <v>-186000</v>
      </c>
      <c r="H51" s="2">
        <v>13605000</v>
      </c>
      <c r="I51" s="31"/>
      <c r="J51" s="2">
        <f t="shared" si="1"/>
        <v>3764000</v>
      </c>
      <c r="K51" s="2">
        <v>17369000</v>
      </c>
      <c r="L51" s="31"/>
      <c r="M51" s="29">
        <f t="shared" si="12"/>
        <v>3088000</v>
      </c>
      <c r="N51" s="2">
        <v>20457000</v>
      </c>
      <c r="O51" s="31"/>
    </row>
    <row r="52" spans="1:16" hidden="1" outlineLevel="2">
      <c r="A52" t="s">
        <v>21</v>
      </c>
      <c r="B52" s="5">
        <v>60010</v>
      </c>
      <c r="C52" s="10" t="s">
        <v>110</v>
      </c>
      <c r="D52" s="2">
        <v>23329191.879999999</v>
      </c>
      <c r="E52" s="2">
        <f t="array" ref="E52">SUM(F52-D52)</f>
        <v>3219808.1099999994</v>
      </c>
      <c r="F52" s="2">
        <f>26548999.99*1</f>
        <v>26548999.989999998</v>
      </c>
      <c r="G52" s="2">
        <f t="shared" si="0"/>
        <v>157000.01000000164</v>
      </c>
      <c r="H52" s="2">
        <v>26706000</v>
      </c>
      <c r="I52" s="32"/>
      <c r="J52" s="2">
        <f t="shared" si="1"/>
        <v>-865000</v>
      </c>
      <c r="K52" s="2">
        <v>25841000</v>
      </c>
      <c r="L52" s="32"/>
      <c r="M52" s="29">
        <f t="shared" si="12"/>
        <v>632000</v>
      </c>
      <c r="N52" s="2">
        <v>26473000</v>
      </c>
      <c r="O52" s="32"/>
    </row>
    <row r="53" spans="1:16" hidden="1" outlineLevel="1" collapsed="1">
      <c r="B53" s="26" t="s">
        <v>114</v>
      </c>
      <c r="C53" s="26"/>
      <c r="D53" s="27">
        <f>SUM(D49:D52)</f>
        <v>47459318.879999995</v>
      </c>
      <c r="E53" s="27">
        <f>+F53-D53</f>
        <v>5435681.150000006</v>
      </c>
      <c r="F53" s="27">
        <f t="shared" ref="F53" si="13">SUM(F49:F52)</f>
        <v>52895000.030000001</v>
      </c>
      <c r="G53" s="27">
        <f t="shared" ref="G53:H53" si="14">SUM(G49:G52)</f>
        <v>-1302000.0299999975</v>
      </c>
      <c r="H53" s="27">
        <f t="shared" si="14"/>
        <v>51593000</v>
      </c>
      <c r="I53" s="28" t="s">
        <v>42</v>
      </c>
      <c r="J53" s="27">
        <f t="shared" ref="J53" si="15">SUM(J49:J52)</f>
        <v>4525000</v>
      </c>
      <c r="K53" s="27">
        <f t="shared" ref="K53:N53" si="16">SUM(K49:K52)</f>
        <v>56118000</v>
      </c>
      <c r="L53" s="28" t="s">
        <v>42</v>
      </c>
      <c r="M53" s="27">
        <f t="shared" ref="M53" si="17">SUM(M49:M52)</f>
        <v>4196000</v>
      </c>
      <c r="N53" s="27">
        <f t="shared" si="16"/>
        <v>60314000</v>
      </c>
      <c r="O53" t="s">
        <v>42</v>
      </c>
    </row>
    <row r="54" spans="1:16" hidden="1" outlineLevel="2">
      <c r="A54" t="s">
        <v>65</v>
      </c>
      <c r="B54" s="5">
        <v>50018</v>
      </c>
      <c r="C54" s="5" t="s">
        <v>115</v>
      </c>
      <c r="D54" s="2">
        <v>913987.83</v>
      </c>
      <c r="E54" s="2">
        <f t="array" ref="E54">SUM(F54-D54)</f>
        <v>-13987.829999999958</v>
      </c>
      <c r="F54" s="2">
        <f>900000*1</f>
        <v>900000</v>
      </c>
      <c r="G54" s="2">
        <f t="shared" si="0"/>
        <v>6829.2800000000279</v>
      </c>
      <c r="H54" s="2">
        <v>906829.28</v>
      </c>
      <c r="J54" s="2">
        <f t="shared" si="1"/>
        <v>43170.719999999972</v>
      </c>
      <c r="K54" s="2">
        <v>950000</v>
      </c>
      <c r="L54" t="s">
        <v>116</v>
      </c>
      <c r="M54" s="2">
        <f t="shared" ref="M54:M60" si="18">N54-K54</f>
        <v>29000</v>
      </c>
      <c r="N54" s="2">
        <v>979000</v>
      </c>
      <c r="O54" t="s">
        <v>28</v>
      </c>
    </row>
    <row r="55" spans="1:16" hidden="1" outlineLevel="2">
      <c r="A55" t="s">
        <v>65</v>
      </c>
      <c r="B55" s="5">
        <v>50037</v>
      </c>
      <c r="C55" s="5" t="s">
        <v>117</v>
      </c>
      <c r="D55" s="2">
        <v>441455</v>
      </c>
      <c r="E55" s="2">
        <f t="array" ref="E55">SUM(F55-D55)</f>
        <v>22073</v>
      </c>
      <c r="F55" s="2">
        <f>463528*1</f>
        <v>463528</v>
      </c>
      <c r="G55" s="2">
        <f t="shared" si="0"/>
        <v>1950101</v>
      </c>
      <c r="H55" s="2">
        <v>2413629</v>
      </c>
      <c r="I55" t="s">
        <v>118</v>
      </c>
      <c r="J55" s="2">
        <f t="shared" si="1"/>
        <v>-1993629</v>
      </c>
      <c r="K55" s="2">
        <v>420000</v>
      </c>
      <c r="L55" t="s">
        <v>119</v>
      </c>
      <c r="M55" s="2">
        <f t="shared" si="18"/>
        <v>13000</v>
      </c>
      <c r="N55" s="2">
        <v>433000</v>
      </c>
      <c r="O55" t="s">
        <v>119</v>
      </c>
    </row>
    <row r="56" spans="1:16" hidden="1" outlineLevel="2">
      <c r="A56" t="s">
        <v>65</v>
      </c>
      <c r="B56" s="5">
        <v>50049</v>
      </c>
      <c r="C56" s="5" t="s">
        <v>120</v>
      </c>
      <c r="D56" s="2">
        <v>504309.03</v>
      </c>
      <c r="E56" s="2">
        <f t="array" ref="E56">SUM(F56-D56)</f>
        <v>155690.96999999997</v>
      </c>
      <c r="F56" s="2">
        <f>660000*1</f>
        <v>660000</v>
      </c>
      <c r="G56" s="2">
        <f t="shared" si="0"/>
        <v>-140000</v>
      </c>
      <c r="H56" s="2">
        <v>520000</v>
      </c>
      <c r="I56" t="s">
        <v>121</v>
      </c>
      <c r="J56" s="2">
        <f t="shared" si="1"/>
        <v>76000</v>
      </c>
      <c r="K56" s="2">
        <v>596000</v>
      </c>
      <c r="L56" t="s">
        <v>122</v>
      </c>
      <c r="M56" s="2">
        <f t="shared" si="18"/>
        <v>30000</v>
      </c>
      <c r="N56" s="2">
        <v>626000</v>
      </c>
      <c r="O56" t="s">
        <v>123</v>
      </c>
    </row>
    <row r="57" spans="1:16" hidden="1" outlineLevel="2">
      <c r="A57" t="s">
        <v>65</v>
      </c>
      <c r="B57" s="5">
        <v>50050</v>
      </c>
      <c r="C57" s="5" t="s">
        <v>124</v>
      </c>
      <c r="D57" s="2">
        <v>1513394.23</v>
      </c>
      <c r="E57" s="2">
        <f t="array" ref="E57">SUM(F57-D57)</f>
        <v>-363394.23</v>
      </c>
      <c r="F57" s="2">
        <f>1150000*1</f>
        <v>1150000</v>
      </c>
      <c r="G57" s="2">
        <f t="shared" si="0"/>
        <v>-50000</v>
      </c>
      <c r="H57" s="2">
        <v>1100000</v>
      </c>
      <c r="J57" s="2">
        <f t="shared" si="1"/>
        <v>83000</v>
      </c>
      <c r="K57" s="2">
        <v>1183000</v>
      </c>
      <c r="L57" t="s">
        <v>125</v>
      </c>
      <c r="M57" s="2">
        <f t="shared" si="18"/>
        <v>35000</v>
      </c>
      <c r="N57" s="2">
        <v>1218000</v>
      </c>
      <c r="O57" t="s">
        <v>28</v>
      </c>
    </row>
    <row r="58" spans="1:16" hidden="1" outlineLevel="2">
      <c r="A58" t="s">
        <v>65</v>
      </c>
      <c r="B58" s="5">
        <v>50051</v>
      </c>
      <c r="C58" s="5" t="s">
        <v>126</v>
      </c>
      <c r="D58" s="2">
        <v>297525.09999999998</v>
      </c>
      <c r="E58" s="2">
        <f t="array" ref="E58">SUM(F58-D58)</f>
        <v>52474.900000000023</v>
      </c>
      <c r="F58" s="2">
        <f t="shared" ref="F58" si="19">350000*1</f>
        <v>350000</v>
      </c>
      <c r="G58" s="2">
        <f t="shared" si="0"/>
        <v>-100000</v>
      </c>
      <c r="H58" s="2">
        <v>250000</v>
      </c>
      <c r="J58" s="2">
        <f t="shared" si="1"/>
        <v>250000</v>
      </c>
      <c r="K58" s="2">
        <v>500000</v>
      </c>
      <c r="L58" t="s">
        <v>127</v>
      </c>
      <c r="M58" s="2">
        <f t="shared" si="18"/>
        <v>0</v>
      </c>
      <c r="N58" s="2">
        <v>500000</v>
      </c>
      <c r="O58" t="s">
        <v>20</v>
      </c>
    </row>
    <row r="59" spans="1:16" hidden="1" outlineLevel="2">
      <c r="A59" t="s">
        <v>65</v>
      </c>
      <c r="B59" s="5">
        <v>50058</v>
      </c>
      <c r="C59" s="5" t="s">
        <v>128</v>
      </c>
      <c r="D59" s="2">
        <v>488348.95</v>
      </c>
      <c r="E59" s="2">
        <f t="array" ref="E59">SUM(F59-D59)</f>
        <v>-138348.95000000001</v>
      </c>
      <c r="F59" s="2">
        <f>350000*1</f>
        <v>350000</v>
      </c>
      <c r="G59" s="2">
        <f t="shared" si="0"/>
        <v>-150000</v>
      </c>
      <c r="H59" s="2">
        <v>200000</v>
      </c>
      <c r="J59" s="2">
        <f t="shared" si="1"/>
        <v>200000</v>
      </c>
      <c r="K59" s="2">
        <v>400000</v>
      </c>
      <c r="L59" t="s">
        <v>129</v>
      </c>
      <c r="M59" s="2">
        <f t="shared" si="18"/>
        <v>600000</v>
      </c>
      <c r="N59" s="2">
        <v>1000000</v>
      </c>
      <c r="O59" t="s">
        <v>130</v>
      </c>
    </row>
    <row r="60" spans="1:16" hidden="1" outlineLevel="2">
      <c r="A60" t="s">
        <v>65</v>
      </c>
      <c r="B60" s="5">
        <v>50067</v>
      </c>
      <c r="C60" s="5" t="s">
        <v>131</v>
      </c>
      <c r="D60" s="2">
        <v>8324281.8499999996</v>
      </c>
      <c r="E60" s="2">
        <f t="array" ref="E60">SUM(F60-D60)</f>
        <v>394718.15000000037</v>
      </c>
      <c r="F60" s="2">
        <f>8719000*1</f>
        <v>8719000</v>
      </c>
      <c r="G60" s="2">
        <f t="shared" si="0"/>
        <v>531000</v>
      </c>
      <c r="H60" s="2">
        <v>9250000</v>
      </c>
      <c r="I60" t="s">
        <v>132</v>
      </c>
      <c r="J60" s="2">
        <f t="shared" si="1"/>
        <v>1464000</v>
      </c>
      <c r="K60" s="2">
        <v>10714000</v>
      </c>
      <c r="L60" t="s">
        <v>133</v>
      </c>
      <c r="M60" s="2">
        <f t="shared" si="18"/>
        <v>321000</v>
      </c>
      <c r="N60" s="2">
        <v>11035000</v>
      </c>
      <c r="O60" t="s">
        <v>133</v>
      </c>
    </row>
    <row r="61" spans="1:16" hidden="1" outlineLevel="1" collapsed="1">
      <c r="B61" s="26" t="s">
        <v>134</v>
      </c>
      <c r="C61" s="26"/>
      <c r="D61" s="27">
        <f>SUM(D54:D60)</f>
        <v>12483301.99</v>
      </c>
      <c r="E61" s="27">
        <f>+F61-D61</f>
        <v>109226.00999999978</v>
      </c>
      <c r="F61" s="27">
        <f t="shared" ref="F61" si="20">SUM(F54:F60)</f>
        <v>12592528</v>
      </c>
      <c r="G61" s="27">
        <f t="shared" ref="G61:H61" si="21">SUM(G54:G60)</f>
        <v>2047930.28</v>
      </c>
      <c r="H61" s="27">
        <f t="shared" si="21"/>
        <v>14640458.280000001</v>
      </c>
      <c r="I61" s="28" t="s">
        <v>42</v>
      </c>
      <c r="J61" s="27">
        <f t="shared" ref="J61" si="22">SUM(J54:J60)</f>
        <v>122541.71999999997</v>
      </c>
      <c r="K61" s="27">
        <f t="shared" ref="K61:N61" si="23">SUM(K54:K60)</f>
        <v>14763000</v>
      </c>
      <c r="L61" s="28" t="s">
        <v>42</v>
      </c>
      <c r="M61" s="27">
        <f t="shared" ref="M61" si="24">SUM(M54:M60)</f>
        <v>1028000</v>
      </c>
      <c r="N61" s="27">
        <f t="shared" si="23"/>
        <v>15791000</v>
      </c>
      <c r="O61" t="s">
        <v>42</v>
      </c>
    </row>
    <row r="62" spans="1:16" hidden="1" outlineLevel="2">
      <c r="A62" t="s">
        <v>43</v>
      </c>
      <c r="B62" s="5">
        <v>10015</v>
      </c>
      <c r="C62" s="5" t="s">
        <v>135</v>
      </c>
      <c r="D62" s="2">
        <v>15619</v>
      </c>
      <c r="E62" s="2">
        <f t="array" ref="E62">SUM(F62-D62)</f>
        <v>-15619</v>
      </c>
      <c r="F62" s="2"/>
      <c r="G62" s="2">
        <f t="shared" si="0"/>
        <v>0</v>
      </c>
      <c r="H62" s="2">
        <v>0</v>
      </c>
      <c r="J62" s="2">
        <f t="shared" si="1"/>
        <v>0</v>
      </c>
      <c r="K62" s="2">
        <v>0</v>
      </c>
      <c r="M62" s="2">
        <f t="shared" ref="M62:M85" si="25">N62-K62</f>
        <v>0</v>
      </c>
      <c r="N62" s="2">
        <v>0</v>
      </c>
    </row>
    <row r="63" spans="1:16" hidden="1" outlineLevel="2">
      <c r="A63" t="s">
        <v>43</v>
      </c>
      <c r="B63" s="5">
        <v>10040</v>
      </c>
      <c r="C63" s="5" t="s">
        <v>136</v>
      </c>
      <c r="D63" s="2">
        <v>218956.15</v>
      </c>
      <c r="E63" s="2">
        <f t="array" ref="E63">SUM(F63-D63)</f>
        <v>31043.850000000006</v>
      </c>
      <c r="F63" s="2">
        <f>250000*1</f>
        <v>250000</v>
      </c>
      <c r="G63" s="2">
        <f t="shared" si="0"/>
        <v>0</v>
      </c>
      <c r="H63" s="2">
        <v>250000</v>
      </c>
      <c r="I63" t="s">
        <v>137</v>
      </c>
      <c r="J63" s="2">
        <f t="shared" si="1"/>
        <v>8000</v>
      </c>
      <c r="K63" s="2">
        <v>258000</v>
      </c>
      <c r="L63" t="s">
        <v>28</v>
      </c>
      <c r="M63" s="2">
        <f t="shared" si="25"/>
        <v>8000</v>
      </c>
      <c r="N63" s="2">
        <v>266000</v>
      </c>
      <c r="O63" t="s">
        <v>28</v>
      </c>
    </row>
    <row r="64" spans="1:16" hidden="1" outlineLevel="2">
      <c r="A64" t="s">
        <v>54</v>
      </c>
      <c r="B64" s="5">
        <v>10056</v>
      </c>
      <c r="C64" s="5" t="s">
        <v>138</v>
      </c>
      <c r="D64" s="2">
        <v>0</v>
      </c>
      <c r="E64" s="2">
        <f t="array" ref="E64">SUM(F64-D64)</f>
        <v>0</v>
      </c>
      <c r="F64" s="6">
        <f t="shared" ref="F64" si="26">0*1</f>
        <v>0</v>
      </c>
      <c r="G64" s="2">
        <f>H64-F64</f>
        <v>91250</v>
      </c>
      <c r="H64" s="2">
        <v>91250</v>
      </c>
      <c r="I64" t="s">
        <v>139</v>
      </c>
      <c r="J64" s="2">
        <f>K64-H64</f>
        <v>2750</v>
      </c>
      <c r="K64" s="2">
        <v>94000</v>
      </c>
      <c r="L64" t="s">
        <v>140</v>
      </c>
      <c r="M64" s="2">
        <f>N64-K64</f>
        <v>3000</v>
      </c>
      <c r="N64" s="2">
        <v>97000</v>
      </c>
      <c r="O64" t="s">
        <v>140</v>
      </c>
      <c r="P64" t="s">
        <v>141</v>
      </c>
    </row>
    <row r="65" spans="1:16" hidden="1" outlineLevel="2">
      <c r="A65" t="s">
        <v>54</v>
      </c>
      <c r="B65" s="5">
        <v>10063</v>
      </c>
      <c r="C65" s="5" t="s">
        <v>142</v>
      </c>
      <c r="D65" s="2">
        <v>50903.21</v>
      </c>
      <c r="E65" s="2">
        <f t="array" ref="E65">SUM(F65-D65)</f>
        <v>49096.79</v>
      </c>
      <c r="F65" s="2">
        <f>100000*1</f>
        <v>100000</v>
      </c>
      <c r="G65" s="2">
        <f t="shared" si="0"/>
        <v>-75000</v>
      </c>
      <c r="H65" s="2">
        <v>25000</v>
      </c>
      <c r="I65" t="s">
        <v>143</v>
      </c>
      <c r="J65" s="2">
        <f t="shared" si="1"/>
        <v>25000</v>
      </c>
      <c r="K65" s="2">
        <v>50000</v>
      </c>
      <c r="L65" t="s">
        <v>144</v>
      </c>
      <c r="M65" s="2">
        <f t="shared" si="25"/>
        <v>0</v>
      </c>
      <c r="N65" s="2">
        <v>50000</v>
      </c>
      <c r="O65" t="s">
        <v>145</v>
      </c>
    </row>
    <row r="66" spans="1:16" hidden="1" outlineLevel="2">
      <c r="A66" t="s">
        <v>62</v>
      </c>
      <c r="B66" s="5">
        <v>50072</v>
      </c>
      <c r="C66" s="5" t="s">
        <v>146</v>
      </c>
      <c r="D66" s="2">
        <v>117913.79</v>
      </c>
      <c r="E66" s="2">
        <f t="array" ref="E66">SUM(F66-D66)</f>
        <v>32086.210000000006</v>
      </c>
      <c r="F66" s="6">
        <f>150000*1</f>
        <v>150000</v>
      </c>
      <c r="G66" s="2">
        <f>H66-F66</f>
        <v>55851.209999999992</v>
      </c>
      <c r="H66" s="2">
        <v>205851.21</v>
      </c>
      <c r="I66" t="s">
        <v>147</v>
      </c>
      <c r="J66" s="2">
        <f>K66-H66</f>
        <v>6148.7900000000081</v>
      </c>
      <c r="K66" s="2">
        <v>212000</v>
      </c>
      <c r="L66" t="s">
        <v>28</v>
      </c>
      <c r="M66" s="2">
        <f>N66-K66</f>
        <v>6000</v>
      </c>
      <c r="N66" s="2">
        <v>218000</v>
      </c>
      <c r="O66" t="s">
        <v>28</v>
      </c>
      <c r="P66" t="s">
        <v>141</v>
      </c>
    </row>
    <row r="67" spans="1:16" hidden="1" outlineLevel="2">
      <c r="A67" t="s">
        <v>17</v>
      </c>
      <c r="B67" s="5">
        <v>15011</v>
      </c>
      <c r="C67" s="5" t="s">
        <v>148</v>
      </c>
      <c r="D67" s="2">
        <v>1848715.9</v>
      </c>
      <c r="E67" s="2">
        <f t="array" ref="E67">SUM(F67-D67)</f>
        <v>11284.100000000093</v>
      </c>
      <c r="F67" s="2">
        <f>1860000*1</f>
        <v>1860000</v>
      </c>
      <c r="G67" s="2">
        <f t="shared" si="0"/>
        <v>13069.069999999832</v>
      </c>
      <c r="H67" s="2">
        <v>1873069.0699999998</v>
      </c>
      <c r="I67" t="s">
        <v>149</v>
      </c>
      <c r="J67" s="2">
        <f t="shared" si="1"/>
        <v>55930.930000000168</v>
      </c>
      <c r="K67" s="2">
        <v>1929000</v>
      </c>
      <c r="L67" t="s">
        <v>28</v>
      </c>
      <c r="M67" s="2">
        <f t="shared" si="25"/>
        <v>58000</v>
      </c>
      <c r="N67" s="2">
        <v>1987000</v>
      </c>
      <c r="O67" t="s">
        <v>28</v>
      </c>
    </row>
    <row r="68" spans="1:16" hidden="1" outlineLevel="2">
      <c r="B68" s="5">
        <v>50011</v>
      </c>
      <c r="C68" s="5" t="s">
        <v>150</v>
      </c>
      <c r="D68" s="2">
        <v>310.5</v>
      </c>
      <c r="E68" s="2">
        <f t="array" ref="E68">SUM(F68-D68)</f>
        <v>-310.5</v>
      </c>
      <c r="F68" s="2">
        <f>0*1</f>
        <v>0</v>
      </c>
      <c r="G68" s="2">
        <f t="shared" si="0"/>
        <v>0</v>
      </c>
      <c r="H68" s="2">
        <v>0</v>
      </c>
      <c r="J68" s="2">
        <f t="shared" si="1"/>
        <v>0</v>
      </c>
      <c r="K68" s="2">
        <v>0</v>
      </c>
      <c r="M68" s="2">
        <f t="shared" si="25"/>
        <v>0</v>
      </c>
      <c r="N68" s="2">
        <v>0</v>
      </c>
    </row>
    <row r="69" spans="1:16" hidden="1" outlineLevel="2">
      <c r="A69" t="s">
        <v>65</v>
      </c>
      <c r="B69" s="5">
        <v>50052</v>
      </c>
      <c r="C69" s="5" t="s">
        <v>151</v>
      </c>
      <c r="D69" s="2">
        <v>51159</v>
      </c>
      <c r="E69" s="2">
        <f t="array" ref="E69">SUM(F69-D69)</f>
        <v>-21159</v>
      </c>
      <c r="F69" s="2">
        <f>30000*1</f>
        <v>30000</v>
      </c>
      <c r="G69" s="2">
        <f t="shared" ref="G69:G85" si="27">H69-F69</f>
        <v>-30000</v>
      </c>
      <c r="H69" s="2">
        <v>0</v>
      </c>
      <c r="J69" s="2">
        <f t="shared" ref="J69:J85" si="28">K69-H69</f>
        <v>0</v>
      </c>
      <c r="K69" s="2">
        <v>0</v>
      </c>
      <c r="M69" s="2">
        <f t="shared" si="25"/>
        <v>0</v>
      </c>
      <c r="N69" s="2">
        <v>0</v>
      </c>
    </row>
    <row r="70" spans="1:16" hidden="1" outlineLevel="2">
      <c r="A70" t="s">
        <v>54</v>
      </c>
      <c r="B70" s="5">
        <v>50060</v>
      </c>
      <c r="C70" s="5" t="s">
        <v>152</v>
      </c>
      <c r="D70" s="2">
        <v>-3666.5</v>
      </c>
      <c r="E70" s="2">
        <f t="array" ref="E70">SUM(F70-D70)</f>
        <v>23666.5</v>
      </c>
      <c r="F70" s="2">
        <f>20000*1</f>
        <v>20000</v>
      </c>
      <c r="G70" s="2">
        <f t="shared" si="27"/>
        <v>-10000</v>
      </c>
      <c r="H70" s="2">
        <v>10000</v>
      </c>
      <c r="I70" t="s">
        <v>153</v>
      </c>
      <c r="J70" s="2">
        <f t="shared" si="28"/>
        <v>0</v>
      </c>
      <c r="K70" s="2">
        <v>10000</v>
      </c>
      <c r="L70" t="s">
        <v>28</v>
      </c>
      <c r="M70" s="2">
        <f t="shared" si="25"/>
        <v>0</v>
      </c>
      <c r="N70" s="2">
        <v>10000</v>
      </c>
      <c r="O70" t="s">
        <v>28</v>
      </c>
    </row>
    <row r="71" spans="1:16" hidden="1" outlineLevel="2">
      <c r="A71" t="s">
        <v>65</v>
      </c>
      <c r="B71" s="5">
        <v>50065</v>
      </c>
      <c r="C71" s="5" t="s">
        <v>154</v>
      </c>
      <c r="D71" s="2">
        <v>10950</v>
      </c>
      <c r="E71" s="2">
        <f t="array" ref="E71">SUM(F71-D71)</f>
        <v>14050</v>
      </c>
      <c r="F71" s="2">
        <f>25000*1</f>
        <v>25000</v>
      </c>
      <c r="G71" s="2">
        <f t="shared" si="27"/>
        <v>10437.5</v>
      </c>
      <c r="H71" s="2">
        <v>35437.5</v>
      </c>
      <c r="J71" s="2">
        <f t="shared" si="28"/>
        <v>1562.5</v>
      </c>
      <c r="K71" s="2">
        <v>37000</v>
      </c>
      <c r="L71" t="s">
        <v>28</v>
      </c>
      <c r="M71" s="2">
        <f t="shared" si="25"/>
        <v>1000</v>
      </c>
      <c r="N71" s="2">
        <v>38000</v>
      </c>
      <c r="O71" t="s">
        <v>28</v>
      </c>
    </row>
    <row r="72" spans="1:16" hidden="1" outlineLevel="2">
      <c r="B72" s="8">
        <v>50073</v>
      </c>
      <c r="C72" s="12" t="s">
        <v>155</v>
      </c>
      <c r="D72" s="2"/>
      <c r="E72" s="2"/>
      <c r="F72" s="6"/>
      <c r="G72" s="2"/>
      <c r="H72" s="2"/>
      <c r="J72" s="2"/>
      <c r="K72" s="2">
        <v>1369500</v>
      </c>
      <c r="M72" s="2"/>
      <c r="N72" s="2">
        <v>1826000</v>
      </c>
    </row>
    <row r="73" spans="1:16" hidden="1" outlineLevel="2">
      <c r="A73" t="s">
        <v>156</v>
      </c>
      <c r="B73" s="8">
        <v>50074</v>
      </c>
      <c r="C73" s="12" t="s">
        <v>157</v>
      </c>
      <c r="D73" s="2">
        <v>135.80000000000001</v>
      </c>
      <c r="E73" s="2">
        <f t="array" ref="E73">SUM(F73-D73)</f>
        <v>499864.2</v>
      </c>
      <c r="F73" s="6">
        <f>500000*1</f>
        <v>500000</v>
      </c>
      <c r="G73" s="2">
        <f>H73-F73</f>
        <v>-499791</v>
      </c>
      <c r="H73" s="2">
        <v>209</v>
      </c>
      <c r="I73" t="s">
        <v>158</v>
      </c>
      <c r="J73" s="2">
        <f>K73-H73</f>
        <v>-209</v>
      </c>
      <c r="K73" s="2">
        <v>0</v>
      </c>
      <c r="M73" s="2">
        <f>N73-K73</f>
        <v>0</v>
      </c>
      <c r="N73" s="2">
        <v>0</v>
      </c>
    </row>
    <row r="74" spans="1:16" hidden="1" outlineLevel="2">
      <c r="A74" t="s">
        <v>62</v>
      </c>
      <c r="B74" s="5">
        <v>50075</v>
      </c>
      <c r="C74" s="5" t="s">
        <v>159</v>
      </c>
      <c r="D74" s="2">
        <v>25365.56</v>
      </c>
      <c r="E74" s="2">
        <f t="array" ref="E74">SUM(F74-D74)</f>
        <v>24634.44</v>
      </c>
      <c r="F74" s="2">
        <f>50000*1</f>
        <v>50000</v>
      </c>
      <c r="G74" s="2">
        <f t="shared" si="27"/>
        <v>-25000</v>
      </c>
      <c r="H74" s="2">
        <v>25000</v>
      </c>
      <c r="I74" t="s">
        <v>160</v>
      </c>
      <c r="J74" s="2">
        <f t="shared" si="28"/>
        <v>50000</v>
      </c>
      <c r="K74" s="2">
        <v>75000</v>
      </c>
      <c r="L74" t="s">
        <v>161</v>
      </c>
      <c r="M74" s="2">
        <f t="shared" si="25"/>
        <v>0</v>
      </c>
      <c r="N74" s="2">
        <v>75000</v>
      </c>
      <c r="O74" t="s">
        <v>20</v>
      </c>
    </row>
    <row r="75" spans="1:16" hidden="1" outlineLevel="2">
      <c r="A75" t="s">
        <v>62</v>
      </c>
      <c r="B75" s="5">
        <v>50077</v>
      </c>
      <c r="C75" s="5" t="s">
        <v>162</v>
      </c>
      <c r="D75" s="2">
        <v>1511023.47</v>
      </c>
      <c r="E75" s="2">
        <f t="array" ref="E75">SUM(F75-D75)</f>
        <v>-191023.46999999997</v>
      </c>
      <c r="F75" s="2">
        <f>1320000*1</f>
        <v>1320000</v>
      </c>
      <c r="G75" s="2">
        <f t="shared" si="27"/>
        <v>165000</v>
      </c>
      <c r="H75" s="2">
        <v>1485000</v>
      </c>
      <c r="I75" t="s">
        <v>163</v>
      </c>
      <c r="J75" s="2">
        <f t="shared" si="28"/>
        <v>1015000</v>
      </c>
      <c r="K75" s="2">
        <v>2500000</v>
      </c>
      <c r="L75" t="s">
        <v>164</v>
      </c>
      <c r="M75" s="2">
        <f t="shared" si="25"/>
        <v>0</v>
      </c>
      <c r="N75" s="2">
        <v>2500000</v>
      </c>
      <c r="O75" t="s">
        <v>165</v>
      </c>
    </row>
    <row r="76" spans="1:16" hidden="1" outlineLevel="2">
      <c r="A76" t="s">
        <v>166</v>
      </c>
      <c r="B76" s="5">
        <v>50084</v>
      </c>
      <c r="C76" s="5" t="s">
        <v>167</v>
      </c>
      <c r="D76" s="2">
        <v>787937.5</v>
      </c>
      <c r="E76" s="2">
        <f t="array" ref="E76">SUM(F76-D76)</f>
        <v>212062.5</v>
      </c>
      <c r="F76" s="6">
        <f>1000000*1</f>
        <v>1000000</v>
      </c>
      <c r="G76" s="2">
        <f>H76-F76</f>
        <v>-600000</v>
      </c>
      <c r="H76" s="2">
        <v>400000</v>
      </c>
      <c r="I76" t="s">
        <v>168</v>
      </c>
      <c r="J76" s="2">
        <f>K76-H76</f>
        <v>600000</v>
      </c>
      <c r="K76" s="2">
        <v>1000000</v>
      </c>
      <c r="L76" t="s">
        <v>169</v>
      </c>
      <c r="M76" s="2">
        <f>N76-K76</f>
        <v>500000</v>
      </c>
      <c r="N76" s="2">
        <v>1500000</v>
      </c>
      <c r="O76" t="s">
        <v>169</v>
      </c>
      <c r="P76" t="s">
        <v>141</v>
      </c>
    </row>
    <row r="77" spans="1:16" hidden="1" outlineLevel="2">
      <c r="A77" t="s">
        <v>97</v>
      </c>
      <c r="B77" s="5">
        <v>60011</v>
      </c>
      <c r="C77" s="5" t="s">
        <v>150</v>
      </c>
      <c r="D77" s="2">
        <v>34201.24</v>
      </c>
      <c r="E77" s="2">
        <f t="array" ref="E77">SUM(F77-D77)</f>
        <v>5798.760000000002</v>
      </c>
      <c r="F77" s="2">
        <f>40000*1</f>
        <v>40000</v>
      </c>
      <c r="G77" s="2">
        <f t="shared" si="27"/>
        <v>-20000</v>
      </c>
      <c r="H77" s="2">
        <v>20000</v>
      </c>
      <c r="I77" t="s">
        <v>170</v>
      </c>
      <c r="J77" s="2">
        <f t="shared" si="28"/>
        <v>1000</v>
      </c>
      <c r="K77" s="2">
        <v>21000</v>
      </c>
      <c r="L77" t="s">
        <v>28</v>
      </c>
      <c r="M77" s="2">
        <f t="shared" si="25"/>
        <v>1000</v>
      </c>
      <c r="N77" s="2">
        <v>22000</v>
      </c>
      <c r="O77" t="s">
        <v>28</v>
      </c>
    </row>
    <row r="78" spans="1:16" hidden="1" outlineLevel="2">
      <c r="A78" t="s">
        <v>97</v>
      </c>
      <c r="B78" s="5">
        <v>60014</v>
      </c>
      <c r="C78" s="5" t="s">
        <v>171</v>
      </c>
      <c r="D78" s="2">
        <v>12044</v>
      </c>
      <c r="E78" s="2">
        <f t="array" ref="E78">SUM(F78-D78)</f>
        <v>2956</v>
      </c>
      <c r="F78" s="2">
        <f>15000*1</f>
        <v>15000</v>
      </c>
      <c r="G78" s="2">
        <f t="shared" si="27"/>
        <v>-3584</v>
      </c>
      <c r="H78" s="2">
        <v>11416</v>
      </c>
      <c r="J78" s="2">
        <f t="shared" si="28"/>
        <v>584</v>
      </c>
      <c r="K78" s="2">
        <v>12000</v>
      </c>
      <c r="L78" t="s">
        <v>28</v>
      </c>
      <c r="M78" s="2">
        <f t="shared" si="25"/>
        <v>0</v>
      </c>
      <c r="N78" s="2">
        <v>12000</v>
      </c>
      <c r="O78" t="s">
        <v>28</v>
      </c>
    </row>
    <row r="79" spans="1:16" hidden="1" outlineLevel="2">
      <c r="A79" t="s">
        <v>172</v>
      </c>
      <c r="B79" s="5">
        <v>60015</v>
      </c>
      <c r="C79" s="5" t="s">
        <v>173</v>
      </c>
      <c r="D79" s="2">
        <v>0</v>
      </c>
      <c r="E79" s="2">
        <f t="array" ref="E79">SUM(F79-D79)</f>
        <v>10000</v>
      </c>
      <c r="F79" s="2">
        <f>10000*1</f>
        <v>10000</v>
      </c>
      <c r="G79" s="2">
        <f t="shared" si="27"/>
        <v>0</v>
      </c>
      <c r="H79" s="2">
        <v>10000</v>
      </c>
      <c r="J79" s="2">
        <f t="shared" si="28"/>
        <v>0</v>
      </c>
      <c r="K79" s="2">
        <v>10000</v>
      </c>
      <c r="L79" t="s">
        <v>28</v>
      </c>
      <c r="M79" s="2">
        <f t="shared" si="25"/>
        <v>0</v>
      </c>
      <c r="N79" s="2">
        <v>10000</v>
      </c>
      <c r="O79" t="s">
        <v>28</v>
      </c>
    </row>
    <row r="80" spans="1:16" hidden="1" outlineLevel="2">
      <c r="A80" t="s">
        <v>97</v>
      </c>
      <c r="B80" s="5">
        <v>60021</v>
      </c>
      <c r="C80" s="5" t="s">
        <v>174</v>
      </c>
      <c r="D80" s="2">
        <v>78110.77</v>
      </c>
      <c r="E80" s="2">
        <f t="array" ref="E80">SUM(F80-D80)</f>
        <v>51889.229999999996</v>
      </c>
      <c r="F80" s="2">
        <f>130000*1</f>
        <v>130000</v>
      </c>
      <c r="G80" s="2">
        <f t="shared" si="27"/>
        <v>-80000</v>
      </c>
      <c r="H80" s="2">
        <v>50000</v>
      </c>
      <c r="I80" t="s">
        <v>175</v>
      </c>
      <c r="J80" s="2">
        <f t="shared" si="28"/>
        <v>2000</v>
      </c>
      <c r="K80" s="2">
        <v>52000</v>
      </c>
      <c r="L80" t="s">
        <v>28</v>
      </c>
      <c r="M80" s="2">
        <f t="shared" si="25"/>
        <v>2000</v>
      </c>
      <c r="N80" s="2">
        <v>54000</v>
      </c>
      <c r="O80" t="s">
        <v>28</v>
      </c>
    </row>
    <row r="81" spans="1:16" hidden="1" outlineLevel="2">
      <c r="A81" t="s">
        <v>62</v>
      </c>
      <c r="B81" s="5">
        <v>60025</v>
      </c>
      <c r="C81" s="5" t="s">
        <v>176</v>
      </c>
      <c r="D81" s="2">
        <v>48095.63</v>
      </c>
      <c r="E81" s="2">
        <f t="array" ref="E81">SUM(F81-D81)</f>
        <v>1904.3700000000026</v>
      </c>
      <c r="F81" s="2">
        <f>50000*1</f>
        <v>50000</v>
      </c>
      <c r="G81" s="2">
        <f t="shared" si="27"/>
        <v>-20000</v>
      </c>
      <c r="H81" s="2">
        <v>30000</v>
      </c>
      <c r="I81" t="s">
        <v>177</v>
      </c>
      <c r="J81" s="2">
        <f t="shared" si="28"/>
        <v>20000</v>
      </c>
      <c r="K81" s="2">
        <v>50000</v>
      </c>
      <c r="L81" t="s">
        <v>20</v>
      </c>
      <c r="M81" s="2">
        <f t="shared" si="25"/>
        <v>0</v>
      </c>
      <c r="N81" s="2">
        <v>50000</v>
      </c>
      <c r="O81" t="s">
        <v>20</v>
      </c>
    </row>
    <row r="82" spans="1:16" hidden="1" outlineLevel="2">
      <c r="A82" t="s">
        <v>97</v>
      </c>
      <c r="B82" s="5">
        <v>60030</v>
      </c>
      <c r="C82" s="5" t="s">
        <v>178</v>
      </c>
      <c r="D82" s="2">
        <v>315168.61</v>
      </c>
      <c r="E82" s="2">
        <f t="array" ref="E82">SUM(F82-D82)</f>
        <v>984831.39</v>
      </c>
      <c r="F82" s="2">
        <f>1300000*1</f>
        <v>1300000</v>
      </c>
      <c r="G82" s="2">
        <f t="shared" si="27"/>
        <v>-450000</v>
      </c>
      <c r="H82" s="2">
        <v>850000</v>
      </c>
      <c r="I82" t="s">
        <v>179</v>
      </c>
      <c r="J82" s="2">
        <f t="shared" si="28"/>
        <v>450000</v>
      </c>
      <c r="K82" s="2">
        <v>1300000</v>
      </c>
      <c r="L82" t="s">
        <v>180</v>
      </c>
      <c r="M82" s="2">
        <f t="shared" si="25"/>
        <v>0</v>
      </c>
      <c r="N82" s="2">
        <v>1300000</v>
      </c>
      <c r="O82" t="s">
        <v>180</v>
      </c>
    </row>
    <row r="83" spans="1:16" hidden="1" outlineLevel="2">
      <c r="A83" t="s">
        <v>181</v>
      </c>
      <c r="B83" s="8">
        <v>60036</v>
      </c>
      <c r="C83" s="12" t="s">
        <v>182</v>
      </c>
      <c r="D83" s="2">
        <v>343336.5</v>
      </c>
      <c r="E83" s="2">
        <f t="array" ref="E83">SUM(F83-D83)</f>
        <v>106663.5</v>
      </c>
      <c r="F83" s="6">
        <f>450000*1</f>
        <v>450000</v>
      </c>
      <c r="G83" s="2">
        <f>H83-F83</f>
        <v>-285397.25</v>
      </c>
      <c r="H83" s="2">
        <v>164602.75</v>
      </c>
      <c r="I83" t="s">
        <v>183</v>
      </c>
      <c r="J83" s="2">
        <f>K83-H83</f>
        <v>235397.25</v>
      </c>
      <c r="K83" s="2">
        <v>400000</v>
      </c>
      <c r="L83" t="s">
        <v>184</v>
      </c>
      <c r="M83" s="2">
        <f>N83-K83</f>
        <v>12000</v>
      </c>
      <c r="N83" s="2">
        <v>412000</v>
      </c>
      <c r="O83" t="s">
        <v>28</v>
      </c>
      <c r="P83" t="s">
        <v>141</v>
      </c>
    </row>
    <row r="84" spans="1:16" hidden="1" outlineLevel="2">
      <c r="A84" t="s">
        <v>97</v>
      </c>
      <c r="B84" s="5">
        <v>60037</v>
      </c>
      <c r="C84" s="5" t="s">
        <v>185</v>
      </c>
      <c r="D84" s="2">
        <v>246734.5</v>
      </c>
      <c r="E84" s="2">
        <f t="array" ref="E84">SUM(F84-D84)</f>
        <v>3265.5</v>
      </c>
      <c r="F84" s="2">
        <f>250000*1</f>
        <v>250000</v>
      </c>
      <c r="G84" s="2">
        <f t="shared" si="27"/>
        <v>3393.6499999999942</v>
      </c>
      <c r="H84" s="2">
        <v>253393.65</v>
      </c>
      <c r="I84" t="s">
        <v>186</v>
      </c>
      <c r="J84" s="2">
        <f t="shared" si="28"/>
        <v>7606.3500000000058</v>
      </c>
      <c r="K84" s="2">
        <v>261000</v>
      </c>
      <c r="L84" t="s">
        <v>28</v>
      </c>
      <c r="M84" s="2">
        <f t="shared" si="25"/>
        <v>8000</v>
      </c>
      <c r="N84" s="2">
        <v>269000</v>
      </c>
      <c r="O84" t="s">
        <v>28</v>
      </c>
    </row>
    <row r="85" spans="1:16" hidden="1" outlineLevel="2">
      <c r="A85" t="s">
        <v>62</v>
      </c>
      <c r="B85" s="5">
        <v>60043</v>
      </c>
      <c r="C85" s="5" t="s">
        <v>187</v>
      </c>
      <c r="D85" s="2">
        <v>255600</v>
      </c>
      <c r="E85" s="2">
        <f t="array" ref="E85">SUM(F85-D85)</f>
        <v>-45600</v>
      </c>
      <c r="F85" s="2">
        <f>210000*1</f>
        <v>210000</v>
      </c>
      <c r="G85" s="2">
        <f t="shared" si="27"/>
        <v>-5400</v>
      </c>
      <c r="H85" s="2">
        <v>204600</v>
      </c>
      <c r="I85" t="s">
        <v>188</v>
      </c>
      <c r="J85" s="2">
        <f t="shared" si="28"/>
        <v>806400</v>
      </c>
      <c r="K85" s="2">
        <v>1011000</v>
      </c>
      <c r="L85" t="s">
        <v>189</v>
      </c>
      <c r="M85" s="2">
        <f t="shared" si="25"/>
        <v>930000</v>
      </c>
      <c r="N85" s="2">
        <v>1941000</v>
      </c>
      <c r="O85" t="s">
        <v>28</v>
      </c>
    </row>
    <row r="86" spans="1:16" hidden="1" outlineLevel="1" collapsed="1">
      <c r="B86" s="26" t="s">
        <v>190</v>
      </c>
      <c r="C86" s="26"/>
      <c r="D86" s="27">
        <f>SUM(D62:D85)</f>
        <v>5968614.6299999999</v>
      </c>
      <c r="E86" s="27">
        <f>+F86-D86</f>
        <v>1791385.37</v>
      </c>
      <c r="F86" s="27">
        <f t="shared" ref="F86" si="29">SUM(F62:F85)</f>
        <v>7760000</v>
      </c>
      <c r="G86" s="27">
        <f>SUM(G62:G85)</f>
        <v>-1765170.8200000003</v>
      </c>
      <c r="H86" s="27">
        <f>SUM(H62:H85)</f>
        <v>5994829.1799999997</v>
      </c>
      <c r="I86" s="28" t="s">
        <v>42</v>
      </c>
      <c r="J86" s="27">
        <f>SUM(J62:J85)</f>
        <v>3287170.8200000003</v>
      </c>
      <c r="K86" s="27">
        <f>SUM(K62:K85)</f>
        <v>10651500</v>
      </c>
      <c r="L86" s="28" t="s">
        <v>42</v>
      </c>
      <c r="M86" s="27">
        <f>SUM(M62:M85)</f>
        <v>1529000</v>
      </c>
      <c r="N86" s="27">
        <f>SUM(N62:N85)</f>
        <v>12637000</v>
      </c>
      <c r="O86" t="s">
        <v>42</v>
      </c>
    </row>
    <row r="87" spans="1:16" hidden="1" outlineLevel="2">
      <c r="A87" t="s">
        <v>21</v>
      </c>
      <c r="B87" s="5">
        <v>50021</v>
      </c>
      <c r="C87" s="5" t="s">
        <v>191</v>
      </c>
      <c r="D87" s="2">
        <v>3936594.37</v>
      </c>
      <c r="E87" s="2">
        <f t="array" ref="E87">SUM(F87-D87)</f>
        <v>307463.62999999989</v>
      </c>
      <c r="F87" s="2">
        <f>4244058*1</f>
        <v>4244058</v>
      </c>
      <c r="G87" s="2">
        <f t="shared" ref="G87:G90" si="30">H87-F87</f>
        <v>0</v>
      </c>
      <c r="H87" s="2">
        <v>4244058</v>
      </c>
      <c r="I87" t="s">
        <v>192</v>
      </c>
      <c r="J87" s="2">
        <f t="shared" ref="J87:J90" si="31">K87-H87</f>
        <v>781942</v>
      </c>
      <c r="K87" s="2">
        <v>5026000</v>
      </c>
      <c r="L87" t="s">
        <v>193</v>
      </c>
      <c r="M87" s="2">
        <f t="shared" ref="M87:M90" si="32">N87-K87</f>
        <v>1951000</v>
      </c>
      <c r="N87" s="2">
        <v>6977000</v>
      </c>
      <c r="O87" t="s">
        <v>194</v>
      </c>
    </row>
    <row r="88" spans="1:16" hidden="1" outlineLevel="2">
      <c r="A88" t="s">
        <v>156</v>
      </c>
      <c r="B88" s="5">
        <v>50076</v>
      </c>
      <c r="C88" s="5" t="s">
        <v>195</v>
      </c>
      <c r="D88" s="2">
        <v>1892325.08</v>
      </c>
      <c r="E88" s="2">
        <f t="array" ref="E88">SUM(F88-D88)</f>
        <v>1207674.92</v>
      </c>
      <c r="F88" s="2">
        <f>3100000*1</f>
        <v>3100000</v>
      </c>
      <c r="G88" s="2">
        <f t="shared" si="30"/>
        <v>0</v>
      </c>
      <c r="H88" s="2">
        <v>3100000</v>
      </c>
      <c r="J88" s="2">
        <f t="shared" si="31"/>
        <v>93000</v>
      </c>
      <c r="K88" s="2">
        <v>3193000</v>
      </c>
      <c r="L88" t="s">
        <v>28</v>
      </c>
      <c r="M88" s="2">
        <f t="shared" si="32"/>
        <v>1096000</v>
      </c>
      <c r="N88" s="2">
        <v>4289000</v>
      </c>
      <c r="O88" t="s">
        <v>196</v>
      </c>
    </row>
    <row r="89" spans="1:16" hidden="1" outlineLevel="2">
      <c r="A89" t="s">
        <v>54</v>
      </c>
      <c r="B89" s="5">
        <v>50078</v>
      </c>
      <c r="C89" s="5" t="s">
        <v>197</v>
      </c>
      <c r="D89" s="2">
        <v>616242.73</v>
      </c>
      <c r="E89" s="2">
        <f t="array" ref="E89">SUM(F89-D89)</f>
        <v>683757.27</v>
      </c>
      <c r="F89" s="2">
        <f>1300000*1</f>
        <v>1300000</v>
      </c>
      <c r="G89" s="2">
        <f t="shared" si="30"/>
        <v>0</v>
      </c>
      <c r="H89" s="2">
        <v>1300000</v>
      </c>
      <c r="I89" t="s">
        <v>198</v>
      </c>
      <c r="J89" s="2">
        <f t="shared" si="31"/>
        <v>-650000</v>
      </c>
      <c r="K89" s="2">
        <v>650000</v>
      </c>
      <c r="L89" t="s">
        <v>199</v>
      </c>
      <c r="M89" s="2">
        <f t="shared" si="32"/>
        <v>20000</v>
      </c>
      <c r="N89" s="2">
        <v>670000</v>
      </c>
      <c r="O89" t="s">
        <v>28</v>
      </c>
    </row>
    <row r="90" spans="1:16" hidden="1" outlineLevel="2">
      <c r="A90" t="s">
        <v>97</v>
      </c>
      <c r="B90" s="5">
        <v>60023</v>
      </c>
      <c r="C90" s="5" t="s">
        <v>200</v>
      </c>
      <c r="D90" s="2">
        <v>184403.5</v>
      </c>
      <c r="E90" s="2">
        <f t="array" ref="E90">SUM(F90-D90)</f>
        <v>115596.5</v>
      </c>
      <c r="F90" s="2">
        <f>300000*1</f>
        <v>300000</v>
      </c>
      <c r="G90" s="2">
        <f t="shared" si="30"/>
        <v>3950.5</v>
      </c>
      <c r="H90" s="2">
        <v>303950.5</v>
      </c>
      <c r="I90" t="s">
        <v>201</v>
      </c>
      <c r="J90" s="2">
        <f t="shared" si="31"/>
        <v>9049.5</v>
      </c>
      <c r="K90" s="2">
        <v>313000</v>
      </c>
      <c r="L90" t="s">
        <v>28</v>
      </c>
      <c r="M90" s="2">
        <f t="shared" si="32"/>
        <v>9000</v>
      </c>
      <c r="N90" s="2">
        <v>322000</v>
      </c>
      <c r="O90" t="s">
        <v>28</v>
      </c>
    </row>
    <row r="91" spans="1:16" hidden="1" outlineLevel="1" collapsed="1">
      <c r="B91" s="26" t="s">
        <v>202</v>
      </c>
      <c r="C91" s="26"/>
      <c r="D91" s="27">
        <f>SUM(D87:D90)</f>
        <v>6629565.6799999997</v>
      </c>
      <c r="E91" s="27">
        <f>+F91-D91</f>
        <v>2314492.3200000003</v>
      </c>
      <c r="F91" s="27">
        <f t="shared" ref="F91" si="33">SUM(F87:F90)</f>
        <v>8944058</v>
      </c>
      <c r="G91" s="27">
        <f t="shared" ref="G91:H91" si="34">SUM(G87:G90)</f>
        <v>3950.5</v>
      </c>
      <c r="H91" s="27">
        <f t="shared" si="34"/>
        <v>8948008.5</v>
      </c>
      <c r="I91" s="28" t="s">
        <v>42</v>
      </c>
      <c r="J91" s="27">
        <f t="shared" ref="J91" si="35">SUM(J87:J90)</f>
        <v>233991.5</v>
      </c>
      <c r="K91" s="27">
        <f t="shared" ref="K91:N91" si="36">SUM(K87:K90)</f>
        <v>9182000</v>
      </c>
      <c r="L91" s="28" t="s">
        <v>42</v>
      </c>
      <c r="M91" s="27">
        <f t="shared" ref="M91" si="37">SUM(M87:M90)</f>
        <v>3076000</v>
      </c>
      <c r="N91" s="27">
        <f t="shared" si="36"/>
        <v>12258000</v>
      </c>
      <c r="O91" t="s">
        <v>42</v>
      </c>
    </row>
    <row r="92" spans="1:16" hidden="1" outlineLevel="2">
      <c r="A92" t="s">
        <v>21</v>
      </c>
      <c r="B92" s="5">
        <v>50017</v>
      </c>
      <c r="C92" s="5" t="s">
        <v>203</v>
      </c>
      <c r="D92" s="2">
        <v>6983.13</v>
      </c>
      <c r="E92" s="2">
        <f t="array" ref="E92">SUM(F92-D92)</f>
        <v>23016.87</v>
      </c>
      <c r="F92" s="2">
        <f>30000*1</f>
        <v>30000</v>
      </c>
      <c r="G92" s="2">
        <f t="shared" ref="G92:G103" si="38">H92-F92</f>
        <v>-10000</v>
      </c>
      <c r="H92" s="2">
        <v>20000</v>
      </c>
      <c r="J92" s="2">
        <f t="shared" ref="J92:J103" si="39">K92-H92</f>
        <v>1000</v>
      </c>
      <c r="K92" s="2">
        <v>21000</v>
      </c>
      <c r="L92" t="s">
        <v>28</v>
      </c>
      <c r="M92" s="2">
        <f t="shared" ref="M92:M103" si="40">N92-K92</f>
        <v>1000</v>
      </c>
      <c r="N92" s="2">
        <v>22000</v>
      </c>
      <c r="O92" t="s">
        <v>28</v>
      </c>
    </row>
    <row r="93" spans="1:16" hidden="1" outlineLevel="2">
      <c r="A93" t="s">
        <v>21</v>
      </c>
      <c r="B93" s="5">
        <v>50025</v>
      </c>
      <c r="C93" s="5" t="s">
        <v>204</v>
      </c>
      <c r="D93" s="2">
        <v>576880.01</v>
      </c>
      <c r="E93" s="2">
        <f t="array" ref="E93">SUM(F93-D93)</f>
        <v>23119.989999999991</v>
      </c>
      <c r="F93" s="2">
        <f>600000*1</f>
        <v>600000</v>
      </c>
      <c r="G93" s="2">
        <f t="shared" si="38"/>
        <v>0</v>
      </c>
      <c r="H93" s="2">
        <v>600000</v>
      </c>
      <c r="J93" s="2">
        <f t="shared" si="39"/>
        <v>18000</v>
      </c>
      <c r="K93" s="2">
        <v>618000</v>
      </c>
      <c r="L93" t="s">
        <v>28</v>
      </c>
      <c r="M93" s="2">
        <f t="shared" si="40"/>
        <v>19000</v>
      </c>
      <c r="N93" s="2">
        <v>637000</v>
      </c>
      <c r="O93" t="s">
        <v>28</v>
      </c>
    </row>
    <row r="94" spans="1:16" hidden="1" outlineLevel="2">
      <c r="A94" t="s">
        <v>65</v>
      </c>
      <c r="B94" s="5">
        <v>50026</v>
      </c>
      <c r="C94" s="5" t="s">
        <v>205</v>
      </c>
      <c r="D94" s="2">
        <v>9079457.3499999996</v>
      </c>
      <c r="E94" s="2">
        <f t="array" ref="E94">SUM(F94-D94)</f>
        <v>1160542.6500000004</v>
      </c>
      <c r="F94" s="2">
        <f>10240000*1</f>
        <v>10240000</v>
      </c>
      <c r="G94" s="2">
        <f t="shared" si="38"/>
        <v>-396091.13000000082</v>
      </c>
      <c r="H94" s="2">
        <v>9843908.8699999992</v>
      </c>
      <c r="I94" t="s">
        <v>206</v>
      </c>
      <c r="J94" s="2">
        <f t="shared" si="39"/>
        <v>206091.13000000082</v>
      </c>
      <c r="K94" s="2">
        <v>10050000</v>
      </c>
      <c r="L94" t="s">
        <v>28</v>
      </c>
      <c r="M94" s="2">
        <f t="shared" si="40"/>
        <v>302000</v>
      </c>
      <c r="N94" s="2">
        <v>10352000</v>
      </c>
      <c r="O94" t="s">
        <v>28</v>
      </c>
    </row>
    <row r="95" spans="1:16" hidden="1" outlineLevel="2">
      <c r="A95" t="s">
        <v>65</v>
      </c>
      <c r="B95" s="5">
        <v>50042</v>
      </c>
      <c r="C95" s="5" t="s">
        <v>207</v>
      </c>
      <c r="D95" s="2">
        <v>43139.45</v>
      </c>
      <c r="E95" s="2">
        <f t="array" ref="E95">SUM(F95-D95)</f>
        <v>6860.5900000000038</v>
      </c>
      <c r="F95" s="2">
        <f>50000.04*1</f>
        <v>50000.04</v>
      </c>
      <c r="G95" s="2">
        <f t="shared" si="38"/>
        <v>15577.849999999999</v>
      </c>
      <c r="H95" s="2">
        <v>65577.89</v>
      </c>
      <c r="I95" t="s">
        <v>208</v>
      </c>
      <c r="J95" s="2">
        <f t="shared" si="39"/>
        <v>2422.1100000000006</v>
      </c>
      <c r="K95" s="2">
        <v>68000</v>
      </c>
      <c r="L95" t="s">
        <v>28</v>
      </c>
      <c r="M95" s="2">
        <f t="shared" si="40"/>
        <v>2000</v>
      </c>
      <c r="N95" s="2">
        <v>70000</v>
      </c>
      <c r="O95" t="s">
        <v>28</v>
      </c>
    </row>
    <row r="96" spans="1:16" hidden="1" outlineLevel="2">
      <c r="A96" t="s">
        <v>65</v>
      </c>
      <c r="B96" s="5">
        <v>50043</v>
      </c>
      <c r="C96" s="5" t="s">
        <v>209</v>
      </c>
      <c r="D96" s="2">
        <v>61873.75</v>
      </c>
      <c r="E96" s="2">
        <f t="array" ref="E96">SUM(F96-D96)</f>
        <v>13126.25</v>
      </c>
      <c r="F96" s="2">
        <f>75000*1</f>
        <v>75000</v>
      </c>
      <c r="G96" s="2">
        <f t="shared" si="38"/>
        <v>13033</v>
      </c>
      <c r="H96" s="2">
        <v>88033</v>
      </c>
      <c r="I96" t="s">
        <v>210</v>
      </c>
      <c r="J96" s="2">
        <f t="shared" si="39"/>
        <v>2967</v>
      </c>
      <c r="K96" s="2">
        <v>91000</v>
      </c>
      <c r="L96" t="s">
        <v>28</v>
      </c>
      <c r="M96" s="2">
        <f t="shared" si="40"/>
        <v>3000</v>
      </c>
      <c r="N96" s="2">
        <v>94000</v>
      </c>
      <c r="O96" t="s">
        <v>28</v>
      </c>
    </row>
    <row r="97" spans="1:15" hidden="1" outlineLevel="2">
      <c r="A97" t="s">
        <v>65</v>
      </c>
      <c r="B97" s="5">
        <v>50044</v>
      </c>
      <c r="C97" s="5" t="s">
        <v>211</v>
      </c>
      <c r="D97" s="2">
        <v>154650.49</v>
      </c>
      <c r="E97" s="2">
        <f t="array" ref="E97">SUM(F97-D97)</f>
        <v>-34650.489999999991</v>
      </c>
      <c r="F97" s="2">
        <f>120000*1</f>
        <v>120000</v>
      </c>
      <c r="G97" s="2">
        <f t="shared" si="38"/>
        <v>12569.770000000019</v>
      </c>
      <c r="H97" s="2">
        <v>132569.77000000002</v>
      </c>
      <c r="J97" s="2">
        <f t="shared" si="39"/>
        <v>4430.2299999999814</v>
      </c>
      <c r="K97" s="2">
        <v>137000</v>
      </c>
      <c r="L97" t="s">
        <v>28</v>
      </c>
      <c r="M97" s="2">
        <f t="shared" si="40"/>
        <v>4000</v>
      </c>
      <c r="N97" s="2">
        <v>141000</v>
      </c>
      <c r="O97" t="s">
        <v>28</v>
      </c>
    </row>
    <row r="98" spans="1:15" hidden="1" outlineLevel="2">
      <c r="A98" t="s">
        <v>65</v>
      </c>
      <c r="B98" s="5">
        <v>50045</v>
      </c>
      <c r="C98" s="5" t="s">
        <v>212</v>
      </c>
      <c r="D98" s="2">
        <v>58127.62</v>
      </c>
      <c r="E98" s="2">
        <f t="array" ref="E98">SUM(F98-D98)</f>
        <v>16872.379999999997</v>
      </c>
      <c r="F98" s="2">
        <f>75000*1</f>
        <v>75000</v>
      </c>
      <c r="G98" s="2">
        <f t="shared" si="38"/>
        <v>25000</v>
      </c>
      <c r="H98" s="2">
        <v>100000</v>
      </c>
      <c r="I98" t="s">
        <v>213</v>
      </c>
      <c r="J98" s="2">
        <f t="shared" si="39"/>
        <v>3000</v>
      </c>
      <c r="K98" s="2">
        <v>103000</v>
      </c>
      <c r="L98" t="s">
        <v>28</v>
      </c>
      <c r="M98" s="2">
        <f t="shared" si="40"/>
        <v>3000</v>
      </c>
      <c r="N98" s="2">
        <v>106000</v>
      </c>
      <c r="O98" t="s">
        <v>28</v>
      </c>
    </row>
    <row r="99" spans="1:15" hidden="1" outlineLevel="2">
      <c r="A99" t="s">
        <v>65</v>
      </c>
      <c r="B99" s="5">
        <v>50046</v>
      </c>
      <c r="C99" s="5" t="s">
        <v>214</v>
      </c>
      <c r="D99" s="2">
        <v>56213.88</v>
      </c>
      <c r="E99" s="2">
        <f t="array" ref="E99">SUM(F99-D99)</f>
        <v>-6213.8799999999974</v>
      </c>
      <c r="F99" s="2">
        <f>50000*1</f>
        <v>50000</v>
      </c>
      <c r="G99" s="2">
        <f t="shared" si="38"/>
        <v>0</v>
      </c>
      <c r="H99" s="2">
        <v>50000</v>
      </c>
      <c r="J99" s="2">
        <f t="shared" si="39"/>
        <v>2000</v>
      </c>
      <c r="K99" s="2">
        <v>52000</v>
      </c>
      <c r="L99" t="s">
        <v>28</v>
      </c>
      <c r="M99" s="2">
        <f t="shared" si="40"/>
        <v>2000</v>
      </c>
      <c r="N99" s="2">
        <v>54000</v>
      </c>
      <c r="O99" t="s">
        <v>28</v>
      </c>
    </row>
    <row r="100" spans="1:15" hidden="1" outlineLevel="2">
      <c r="A100" t="s">
        <v>65</v>
      </c>
      <c r="B100" s="5">
        <v>50047</v>
      </c>
      <c r="C100" s="5" t="s">
        <v>215</v>
      </c>
      <c r="D100" s="2">
        <v>174777.69</v>
      </c>
      <c r="E100" s="2">
        <f t="array" ref="E100">SUM(F100-D100)</f>
        <v>25222.309999999998</v>
      </c>
      <c r="F100" s="2">
        <f>200000*1</f>
        <v>200000</v>
      </c>
      <c r="G100" s="2">
        <f t="shared" si="38"/>
        <v>0</v>
      </c>
      <c r="H100" s="2">
        <v>200000</v>
      </c>
      <c r="J100" s="2">
        <f t="shared" si="39"/>
        <v>6000</v>
      </c>
      <c r="K100" s="2">
        <v>206000</v>
      </c>
      <c r="L100" t="s">
        <v>28</v>
      </c>
      <c r="M100" s="2">
        <f t="shared" si="40"/>
        <v>6000</v>
      </c>
      <c r="N100" s="2">
        <v>212000</v>
      </c>
      <c r="O100" t="s">
        <v>28</v>
      </c>
    </row>
    <row r="101" spans="1:15" hidden="1" outlineLevel="2">
      <c r="A101" t="s">
        <v>65</v>
      </c>
      <c r="B101" s="5">
        <v>50048</v>
      </c>
      <c r="C101" s="5" t="s">
        <v>216</v>
      </c>
      <c r="D101" s="2">
        <v>613729.04</v>
      </c>
      <c r="E101" s="2">
        <f t="array" ref="E101">SUM(F101-D101)</f>
        <v>-13729.040000000037</v>
      </c>
      <c r="F101" s="2">
        <f>600000*1</f>
        <v>600000</v>
      </c>
      <c r="G101" s="2">
        <f t="shared" si="38"/>
        <v>50000</v>
      </c>
      <c r="H101" s="2">
        <v>650000</v>
      </c>
      <c r="J101" s="2">
        <f t="shared" si="39"/>
        <v>20000</v>
      </c>
      <c r="K101" s="2">
        <v>670000</v>
      </c>
      <c r="L101" t="s">
        <v>28</v>
      </c>
      <c r="M101" s="2">
        <f t="shared" si="40"/>
        <v>20000</v>
      </c>
      <c r="N101" s="2">
        <v>690000</v>
      </c>
      <c r="O101" t="s">
        <v>28</v>
      </c>
    </row>
    <row r="102" spans="1:15" hidden="1" outlineLevel="2">
      <c r="B102" s="5">
        <v>50080</v>
      </c>
      <c r="C102" s="5" t="s">
        <v>217</v>
      </c>
      <c r="D102" s="2">
        <v>50000</v>
      </c>
      <c r="E102" s="2"/>
      <c r="F102" s="2"/>
      <c r="G102" s="2">
        <f t="shared" si="38"/>
        <v>0</v>
      </c>
      <c r="H102" s="2">
        <v>0</v>
      </c>
      <c r="J102" s="2">
        <f t="shared" si="39"/>
        <v>0</v>
      </c>
      <c r="K102" s="2">
        <v>0</v>
      </c>
      <c r="M102" s="2">
        <f t="shared" si="40"/>
        <v>0</v>
      </c>
      <c r="N102" s="2">
        <v>0</v>
      </c>
    </row>
    <row r="103" spans="1:15" hidden="1" outlineLevel="2">
      <c r="A103" t="s">
        <v>97</v>
      </c>
      <c r="B103" s="5">
        <v>60032</v>
      </c>
      <c r="C103" s="5" t="s">
        <v>218</v>
      </c>
      <c r="D103" s="2">
        <v>147700.25</v>
      </c>
      <c r="E103" s="2">
        <f t="array" ref="E103">SUM(F103-D103)</f>
        <v>12299.75</v>
      </c>
      <c r="F103" s="2">
        <f>160000*1</f>
        <v>160000</v>
      </c>
      <c r="G103" s="2">
        <f t="shared" si="38"/>
        <v>114194.44</v>
      </c>
      <c r="H103" s="2">
        <v>274194.44</v>
      </c>
      <c r="I103" t="s">
        <v>219</v>
      </c>
      <c r="J103" s="2">
        <f t="shared" si="39"/>
        <v>200635.56</v>
      </c>
      <c r="K103" s="2">
        <v>474830</v>
      </c>
      <c r="L103" t="s">
        <v>220</v>
      </c>
      <c r="M103" s="2">
        <f t="shared" si="40"/>
        <v>14170</v>
      </c>
      <c r="N103" s="2">
        <v>489000</v>
      </c>
      <c r="O103" t="s">
        <v>220</v>
      </c>
    </row>
    <row r="104" spans="1:15" hidden="1" outlineLevel="1" collapsed="1">
      <c r="B104" s="26" t="s">
        <v>221</v>
      </c>
      <c r="C104" s="26"/>
      <c r="D104" s="27">
        <f>SUM(D92:D103)</f>
        <v>11023532.66</v>
      </c>
      <c r="E104" s="27">
        <f>+F104-D104</f>
        <v>1176467.379999999</v>
      </c>
      <c r="F104" s="27">
        <f t="shared" ref="F104" si="41">SUM(F92:F103)</f>
        <v>12200000.039999999</v>
      </c>
      <c r="G104" s="27">
        <f>SUM(G92:G103)</f>
        <v>-175716.07000000082</v>
      </c>
      <c r="H104" s="27">
        <f>SUM(H92:H103)</f>
        <v>12024283.969999999</v>
      </c>
      <c r="I104" s="28" t="s">
        <v>42</v>
      </c>
      <c r="J104" s="27">
        <f>SUM(J92:J103)</f>
        <v>466546.03000000078</v>
      </c>
      <c r="K104" s="27">
        <f>SUM(K92:K103)</f>
        <v>12490830</v>
      </c>
      <c r="L104" s="28" t="s">
        <v>42</v>
      </c>
      <c r="M104" s="27">
        <f>SUM(M92:M103)</f>
        <v>376170</v>
      </c>
      <c r="N104" s="27">
        <f>SUM(N92:N103)</f>
        <v>12867000</v>
      </c>
      <c r="O104" t="s">
        <v>42</v>
      </c>
    </row>
    <row r="105" spans="1:15" collapsed="1">
      <c r="B105" s="4" t="s">
        <v>222</v>
      </c>
      <c r="C105" s="4"/>
      <c r="D105" s="1">
        <f>+D53+D61+D86+D91+D104</f>
        <v>83564333.840000004</v>
      </c>
      <c r="E105" s="1">
        <f>+E53+E61+E86+E91+E104</f>
        <v>10827252.230000004</v>
      </c>
      <c r="F105" s="1">
        <f>+F53+F61+F86+F91+F104</f>
        <v>94391586.069999993</v>
      </c>
      <c r="G105" s="1">
        <f>+G53+G61+G86+G91+G104</f>
        <v>-1191006.1399999985</v>
      </c>
      <c r="H105" s="1">
        <f>+H53+H61+H86+H91+H104</f>
        <v>93200579.930000007</v>
      </c>
      <c r="I105" t="s">
        <v>42</v>
      </c>
      <c r="J105" s="1">
        <f>+J53+J61+J86+J91+J104</f>
        <v>8635250.0700000003</v>
      </c>
      <c r="K105" s="1">
        <f>+K53+K61+K86+K91+K104</f>
        <v>103205330</v>
      </c>
      <c r="L105" t="s">
        <v>42</v>
      </c>
      <c r="M105" s="1">
        <f>+M53+M61+M86+M91+M104</f>
        <v>10205170</v>
      </c>
      <c r="N105" s="1">
        <f>+N53+N61+N86+N91+N104</f>
        <v>113867000</v>
      </c>
      <c r="O105" t="s">
        <v>42</v>
      </c>
    </row>
    <row r="106" spans="1:15" ht="15.75" thickBot="1">
      <c r="B106" s="15" t="s">
        <v>223</v>
      </c>
      <c r="C106" s="14"/>
      <c r="D106" s="7">
        <f>+D15+D42+D48+D53+D61+D86+D91+D104</f>
        <v>-13795993.329999991</v>
      </c>
      <c r="E106" s="7">
        <f>+E15+E42+E48+E53+E61+E86+E91+E104</f>
        <v>17086971.399999999</v>
      </c>
      <c r="F106" s="7">
        <f>+F15+F42+F48+F53+F61+F86+F91+F104</f>
        <v>3290978.0700000003</v>
      </c>
      <c r="G106" s="7">
        <f>+G15+G42+G48+G53+G61+G86+G91+G104</f>
        <v>-5651081.1899999985</v>
      </c>
      <c r="H106" s="7">
        <f>+H15+H42+H48+H53+H61+H86+H91+H104</f>
        <v>-2360103.1199999973</v>
      </c>
      <c r="I106" t="s">
        <v>42</v>
      </c>
      <c r="J106" s="7">
        <f>+J15+J42+J48+J53+J61+J86+J91+J104</f>
        <v>733933.12000000151</v>
      </c>
      <c r="K106" s="7">
        <f>+K15+K42+K48+K53+K61+K86+K91+K104</f>
        <v>-256670</v>
      </c>
      <c r="L106" t="s">
        <v>42</v>
      </c>
      <c r="M106" s="7">
        <f>+M15+M42+M48+M53+M61+M86+M91+M104</f>
        <v>-749530</v>
      </c>
      <c r="N106" s="7">
        <f>+N15+N42+N48+N53+N61+N86+N91+N104</f>
        <v>-549700</v>
      </c>
      <c r="O106" t="s">
        <v>42</v>
      </c>
    </row>
    <row r="107" spans="1:15" ht="15.75" thickTop="1">
      <c r="B107" s="1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>
      <c r="C108" s="3"/>
      <c r="D108" s="3"/>
      <c r="E108" s="3"/>
      <c r="F108" s="3"/>
      <c r="G108" s="3"/>
      <c r="H108" s="3"/>
      <c r="J108" s="3"/>
      <c r="K108" s="3"/>
      <c r="M108" s="3"/>
      <c r="N108" s="3"/>
    </row>
    <row r="109" spans="1:15">
      <c r="H109" s="25"/>
    </row>
  </sheetData>
  <autoFilter ref="A6:I106" xr:uid="{00000000-0001-0000-0000-000000000000}"/>
  <mergeCells count="5">
    <mergeCell ref="I49:I52"/>
    <mergeCell ref="L49:L52"/>
    <mergeCell ref="O49:O52"/>
    <mergeCell ref="L43:L47"/>
    <mergeCell ref="O43:O47"/>
  </mergeCells>
  <pageMargins left="0.7" right="0.7" top="0.75" bottom="0.75" header="0.3" footer="0.3"/>
  <pageSetup paperSize="9" orientation="portrait" horizontalDpi="1200" verticalDpi="12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0BC46504035443AED190F22049C1E6" ma:contentTypeVersion="20" ma:contentTypeDescription="Opprett et nytt dokument." ma:contentTypeScope="" ma:versionID="04dd87431bed4c2ec0e03c4f6c3f1d61">
  <xsd:schema xmlns:xsd="http://www.w3.org/2001/XMLSchema" xmlns:xs="http://www.w3.org/2001/XMLSchema" xmlns:p="http://schemas.microsoft.com/office/2006/metadata/properties" xmlns:ns2="6f778d16-67f5-4eb7-a55d-fd5440701e17" xmlns:ns3="cb0d8f5d-dc79-4f9a-97b5-1f8ba61323b6" targetNamespace="http://schemas.microsoft.com/office/2006/metadata/properties" ma:root="true" ma:fieldsID="08e7556d3571c35ab26025c9999e4134" ns2:_="" ns3:_="">
    <xsd:import namespace="6f778d16-67f5-4eb7-a55d-fd5440701e17"/>
    <xsd:import namespace="cb0d8f5d-dc79-4f9a-97b5-1f8ba61323b6"/>
    <xsd:element name="properties">
      <xsd:complexType>
        <xsd:sequence>
          <xsd:element name="documentManagement">
            <xsd:complexType>
              <xsd:all>
                <xsd:element ref="ns2:Beslutningstidspunkt" minOccurs="0"/>
                <xsd:element ref="ns2:Ansvarligsaksbehandler" minOccurs="0"/>
                <xsd:element ref="ns2:Korrektur" minOccurs="0"/>
                <xsd:element ref="ns2:PDFtilmappe" minOccurs="0"/>
                <xsd:element ref="ns2:Presentasjonklar" minOccurs="0"/>
                <xsd:element ref="ns2:Merknad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78d16-67f5-4eb7-a55d-fd5440701e17" elementFormDefault="qualified">
    <xsd:import namespace="http://schemas.microsoft.com/office/2006/documentManagement/types"/>
    <xsd:import namespace="http://schemas.microsoft.com/office/infopath/2007/PartnerControls"/>
    <xsd:element name="Beslutningstidspunkt" ma:index="3" nillable="true" ma:displayName="Ferdigstilt" ma:description="OK hvis ferdigstilt" ma:format="Dropdown" ma:internalName="Beslutningstidspunkt" ma:readOnly="false">
      <xsd:simpleType>
        <xsd:restriction base="dms:Text">
          <xsd:maxLength value="255"/>
        </xsd:restriction>
      </xsd:simpleType>
    </xsd:element>
    <xsd:element name="Ansvarligsaksbehandler" ma:index="4" nillable="true" ma:displayName="Ansvarlig saksbehandler" ma:format="Dropdown" ma:list="UserInfo" ma:SharePointGroup="0" ma:internalName="Ansvarligsaksbehandl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rrektur" ma:index="5" nillable="true" ma:displayName="Korrektur" ma:description="OK hvis lest korrektur" ma:format="Dropdown" ma:internalName="Korrektur" ma:readOnly="false">
      <xsd:simpleType>
        <xsd:restriction base="dms:Text">
          <xsd:maxLength value="255"/>
        </xsd:restriction>
      </xsd:simpleType>
    </xsd:element>
    <xsd:element name="PDFtilmappe" ma:index="6" nillable="true" ma:displayName="PDF til mappe" ma:format="Dropdown" ma:internalName="PDFtilmappe" ma:readOnly="false">
      <xsd:simpleType>
        <xsd:restriction base="dms:Text">
          <xsd:maxLength value="255"/>
        </xsd:restriction>
      </xsd:simpleType>
    </xsd:element>
    <xsd:element name="Presentasjonklar" ma:index="7" nillable="true" ma:displayName="Presentasjon klar" ma:format="Dropdown" ma:internalName="Presentasjonklar" ma:readOnly="false">
      <xsd:simpleType>
        <xsd:restriction base="dms:Text">
          <xsd:maxLength value="255"/>
        </xsd:restriction>
      </xsd:simpleType>
    </xsd:element>
    <xsd:element name="Merknad" ma:index="8" nillable="true" ma:displayName="Merknad" ma:format="Dropdown" ma:internalName="Merknad" ma:readOnly="false">
      <xsd:simpleType>
        <xsd:restriction base="dms:Text">
          <xsd:maxLength value="255"/>
        </xsd:restriction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21a4f5f4-d9ec-4adb-abf8-11232479b8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d8f5d-dc79-4f9a-97b5-1f8ba61323b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334cdaa-921c-419a-936d-fd5457661c21}" ma:internalName="TaxCatchAll" ma:readOnly="false" ma:showField="CatchAllData" ma:web="cb0d8f5d-dc79-4f9a-97b5-1f8ba6132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778d16-67f5-4eb7-a55d-fd5440701e17">
      <Terms xmlns="http://schemas.microsoft.com/office/infopath/2007/PartnerControls"/>
    </lcf76f155ced4ddcb4097134ff3c332f>
    <TaxCatchAll xmlns="cb0d8f5d-dc79-4f9a-97b5-1f8ba61323b6" xsi:nil="true"/>
    <Beslutningstidspunkt xmlns="6f778d16-67f5-4eb7-a55d-fd5440701e17" xsi:nil="true"/>
    <Ansvarligsaksbehandler xmlns="6f778d16-67f5-4eb7-a55d-fd5440701e17">
      <UserInfo>
        <DisplayName/>
        <AccountId xsi:nil="true"/>
        <AccountType/>
      </UserInfo>
    </Ansvarligsaksbehandler>
    <Presentasjonklar xmlns="6f778d16-67f5-4eb7-a55d-fd5440701e17" xsi:nil="true"/>
    <Merknad xmlns="6f778d16-67f5-4eb7-a55d-fd5440701e17" xsi:nil="true"/>
    <PDFtilmappe xmlns="6f778d16-67f5-4eb7-a55d-fd5440701e17" xsi:nil="true"/>
    <Korrektur xmlns="6f778d16-67f5-4eb7-a55d-fd5440701e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9FBD83-0992-4766-BE41-A8CC67C9E8ED}"/>
</file>

<file path=customXml/itemProps2.xml><?xml version="1.0" encoding="utf-8"?>
<ds:datastoreItem xmlns:ds="http://schemas.openxmlformats.org/officeDocument/2006/customXml" ds:itemID="{C9CE8C21-990C-4B1A-806C-986A199D5478}"/>
</file>

<file path=customXml/itemProps3.xml><?xml version="1.0" encoding="utf-8"?>
<ds:datastoreItem xmlns:ds="http://schemas.openxmlformats.org/officeDocument/2006/customXml" ds:itemID="{71326E16-DDE7-4A00-ACBD-367E58186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Tone Bærvahr</dc:creator>
  <cp:keywords/>
  <dc:description/>
  <cp:lastModifiedBy/>
  <cp:revision/>
  <dcterms:created xsi:type="dcterms:W3CDTF">2017-07-07T10:52:44Z</dcterms:created>
  <dcterms:modified xsi:type="dcterms:W3CDTF">2026-10-13T16:00:11Z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0x010100180BC46504035443AED190F22049C1E6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34000</vt:r8>
  </property>
  <property fmtid="{D5CDD505-2E9C-101B-9397-08002B2CF9AE}" pid="11" name="_SourceUrl">
    <vt:lpwstr/>
  </property>
  <property fmtid="{D5CDD505-2E9C-101B-9397-08002B2CF9AE}" pid="12" name="_SharedFileIndex">
    <vt:lpwstr/>
  </property>
</Properties>
</file>