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00 NJ ORGANISASJON\REPRESENTANTSKAP. ÅRSMØTER, SEKSJONSSTYRER\HOVEDSTYRET\REPRESENTANSKAPSMØTER\2020\Ekstraordinært landsmøte\Saksdokumenter\Godkjente saksdok. i pdf\"/>
    </mc:Choice>
  </mc:AlternateContent>
  <xr:revisionPtr revIDLastSave="0" documentId="13_ncr:1_{C5622D00-37AA-4479-A565-9E6E243A9AE8}" xr6:coauthVersionLast="45" xr6:coauthVersionMax="45" xr10:uidLastSave="{00000000-0000-0000-0000-000000000000}"/>
  <bookViews>
    <workbookView xWindow="-120" yWindow="-120" windowWidth="29040" windowHeight="15840" xr2:uid="{F13385AF-EFC7-4BD0-A5FC-AC8E3B0B56E1}"/>
  </bookViews>
  <sheets>
    <sheet name="Budsjettforslag2" sheetId="1" r:id="rId1"/>
  </sheets>
  <definedNames>
    <definedName name="_xlnm._FilterDatabase" localSheetId="0" hidden="1">Budsjettforslag2!$A$7:$R$182</definedName>
    <definedName name="OSRRefC10x_0" localSheetId="0">Budsjettforslag2!$H$16:$H$90</definedName>
    <definedName name="OSRRefC11x_0" localSheetId="0">Budsjettforslag2!$H$91:$H$93</definedName>
    <definedName name="OSRRefC12x_0" localSheetId="0">Budsjettforslag2!$H$94:$H$152</definedName>
    <definedName name="OSRRefC13x_0" localSheetId="0">Budsjettforslag2!$H$134:$H$154</definedName>
    <definedName name="OSRRefD10x_0_0" localSheetId="0">Budsjettforslag2!$I$16:$I$90</definedName>
    <definedName name="OSRRefD11x_0_0" localSheetId="0">Budsjettforslag2!$I$91:$I$93</definedName>
    <definedName name="OSRRefD12x_0_0" localSheetId="0">Budsjettforslag2!$I$94:$I$152</definedName>
    <definedName name="OSRRefD13x_0_0" localSheetId="0">Budsjettforslag2!$I$134:$I$154</definedName>
    <definedName name="OSRRefE10x" localSheetId="0">Budsjettforslag2!$M$16:$M$90</definedName>
    <definedName name="OSRRefE11x" localSheetId="0">Budsjettforslag2!$M$91:$M$93</definedName>
    <definedName name="OSRRefE12x" localSheetId="0">Budsjettforslag2!$M$94:$M$152</definedName>
    <definedName name="OSRRefE13x" localSheetId="0">Budsjettforslag2!$M$134:$M$154</definedName>
    <definedName name="OSRRefF10x_0" localSheetId="0">Budsjettforslag2!#REF!</definedName>
    <definedName name="OSRRefF11x_0" localSheetId="0">Budsjettforslag2!#REF!</definedName>
    <definedName name="OSRRefF12x_0" localSheetId="0">Budsjettforslag2!#REF!</definedName>
    <definedName name="OSRRefF13x_0" localSheetId="0">Budsjettforslag2!#REF!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7" i="1" l="1"/>
  <c r="M177" i="1"/>
  <c r="J177" i="1"/>
  <c r="I177" i="1"/>
  <c r="H177" i="1"/>
  <c r="I174" i="1"/>
  <c r="M174" i="1" s="1"/>
  <c r="H173" i="1"/>
  <c r="H172" i="1"/>
  <c r="N167" i="1"/>
  <c r="M167" i="1"/>
  <c r="J167" i="1"/>
  <c r="I167" i="1"/>
  <c r="H167" i="1"/>
  <c r="L154" i="1"/>
  <c r="J154" i="1" s="1"/>
  <c r="P153" i="1"/>
  <c r="L153" i="1"/>
  <c r="J153" i="1" s="1"/>
  <c r="P152" i="1"/>
  <c r="L152" i="1"/>
  <c r="J152" i="1"/>
  <c r="N151" i="1"/>
  <c r="P151" i="1"/>
  <c r="L151" i="1"/>
  <c r="J151" i="1" s="1"/>
  <c r="P150" i="1"/>
  <c r="L150" i="1"/>
  <c r="J150" i="1" s="1"/>
  <c r="N149" i="1"/>
  <c r="P149" i="1"/>
  <c r="L149" i="1"/>
  <c r="J149" i="1" s="1"/>
  <c r="P148" i="1"/>
  <c r="N148" i="1"/>
  <c r="L148" i="1"/>
  <c r="J148" i="1"/>
  <c r="P147" i="1"/>
  <c r="N147" i="1"/>
  <c r="L147" i="1"/>
  <c r="J147" i="1" s="1"/>
  <c r="K146" i="1"/>
  <c r="L146" i="1"/>
  <c r="J146" i="1" s="1"/>
  <c r="O145" i="1"/>
  <c r="N145" i="1"/>
  <c r="P145" i="1"/>
  <c r="L145" i="1"/>
  <c r="K145" i="1"/>
  <c r="J145" i="1"/>
  <c r="O144" i="1"/>
  <c r="N144" i="1"/>
  <c r="K144" i="1"/>
  <c r="J144" i="1" s="1"/>
  <c r="L144" i="1"/>
  <c r="P143" i="1"/>
  <c r="J143" i="1"/>
  <c r="L143" i="1"/>
  <c r="N142" i="1"/>
  <c r="P142" i="1"/>
  <c r="L142" i="1"/>
  <c r="J142" i="1" s="1"/>
  <c r="O141" i="1"/>
  <c r="K141" i="1"/>
  <c r="K156" i="1" s="1"/>
  <c r="J141" i="1"/>
  <c r="N140" i="1"/>
  <c r="P140" i="1"/>
  <c r="L140" i="1"/>
  <c r="J140" i="1" s="1"/>
  <c r="P139" i="1"/>
  <c r="N139" i="1"/>
  <c r="M156" i="1"/>
  <c r="F156" i="1"/>
  <c r="E156" i="1"/>
  <c r="K138" i="1"/>
  <c r="N136" i="1"/>
  <c r="P136" i="1"/>
  <c r="L136" i="1"/>
  <c r="J136" i="1" s="1"/>
  <c r="P135" i="1"/>
  <c r="L135" i="1"/>
  <c r="J135" i="1" s="1"/>
  <c r="N134" i="1"/>
  <c r="P134" i="1"/>
  <c r="L134" i="1"/>
  <c r="J134" i="1" s="1"/>
  <c r="P133" i="1"/>
  <c r="O133" i="1"/>
  <c r="N133" i="1"/>
  <c r="L133" i="1"/>
  <c r="K133" i="1"/>
  <c r="J133" i="1"/>
  <c r="O132" i="1"/>
  <c r="O138" i="1" s="1"/>
  <c r="K132" i="1"/>
  <c r="L132" i="1"/>
  <c r="P131" i="1"/>
  <c r="L131" i="1"/>
  <c r="J131" i="1" s="1"/>
  <c r="N130" i="1"/>
  <c r="P130" i="1"/>
  <c r="L130" i="1"/>
  <c r="J130" i="1" s="1"/>
  <c r="P129" i="1"/>
  <c r="N129" i="1"/>
  <c r="L129" i="1"/>
  <c r="J129" i="1"/>
  <c r="P128" i="1"/>
  <c r="N128" i="1"/>
  <c r="L128" i="1"/>
  <c r="J128" i="1" s="1"/>
  <c r="L127" i="1"/>
  <c r="J127" i="1" s="1"/>
  <c r="P126" i="1"/>
  <c r="L126" i="1"/>
  <c r="J126" i="1" s="1"/>
  <c r="P125" i="1"/>
  <c r="L125" i="1"/>
  <c r="J125" i="1" s="1"/>
  <c r="G138" i="1"/>
  <c r="N124" i="1"/>
  <c r="P124" i="1"/>
  <c r="K124" i="1"/>
  <c r="L124" i="1" s="1"/>
  <c r="P123" i="1"/>
  <c r="N123" i="1"/>
  <c r="L123" i="1"/>
  <c r="J123" i="1" s="1"/>
  <c r="E138" i="1"/>
  <c r="L122" i="1"/>
  <c r="F138" i="1"/>
  <c r="P119" i="1"/>
  <c r="L119" i="1"/>
  <c r="J119" i="1" s="1"/>
  <c r="N118" i="1"/>
  <c r="P118" i="1"/>
  <c r="L118" i="1"/>
  <c r="J118" i="1" s="1"/>
  <c r="P117" i="1"/>
  <c r="N117" i="1"/>
  <c r="L117" i="1"/>
  <c r="J117" i="1"/>
  <c r="P116" i="1"/>
  <c r="N116" i="1"/>
  <c r="L116" i="1"/>
  <c r="J116" i="1" s="1"/>
  <c r="L115" i="1"/>
  <c r="J115" i="1" s="1"/>
  <c r="P114" i="1"/>
  <c r="L114" i="1"/>
  <c r="J114" i="1" s="1"/>
  <c r="P113" i="1"/>
  <c r="J113" i="1"/>
  <c r="L113" i="1"/>
  <c r="O112" i="1"/>
  <c r="P112" i="1" s="1"/>
  <c r="N112" i="1"/>
  <c r="P111" i="1"/>
  <c r="L111" i="1"/>
  <c r="J111" i="1" s="1"/>
  <c r="O110" i="1"/>
  <c r="N110" i="1"/>
  <c r="P109" i="1"/>
  <c r="J109" i="1"/>
  <c r="L109" i="1"/>
  <c r="N108" i="1"/>
  <c r="P108" i="1"/>
  <c r="L108" i="1"/>
  <c r="J108" i="1" s="1"/>
  <c r="P107" i="1"/>
  <c r="L107" i="1"/>
  <c r="J107" i="1" s="1"/>
  <c r="N106" i="1"/>
  <c r="P106" i="1"/>
  <c r="L106" i="1"/>
  <c r="J106" i="1" s="1"/>
  <c r="P105" i="1"/>
  <c r="N105" i="1"/>
  <c r="L105" i="1"/>
  <c r="J105" i="1"/>
  <c r="P104" i="1"/>
  <c r="N104" i="1"/>
  <c r="L104" i="1"/>
  <c r="J104" i="1" s="1"/>
  <c r="L103" i="1"/>
  <c r="J103" i="1" s="1"/>
  <c r="P102" i="1"/>
  <c r="L102" i="1"/>
  <c r="J102" i="1" s="1"/>
  <c r="P101" i="1"/>
  <c r="J101" i="1"/>
  <c r="L101" i="1"/>
  <c r="N100" i="1"/>
  <c r="P100" i="1"/>
  <c r="L100" i="1"/>
  <c r="J100" i="1" s="1"/>
  <c r="P99" i="1"/>
  <c r="L99" i="1"/>
  <c r="J99" i="1" s="1"/>
  <c r="N98" i="1"/>
  <c r="P98" i="1"/>
  <c r="L98" i="1"/>
  <c r="J98" i="1" s="1"/>
  <c r="P97" i="1"/>
  <c r="N97" i="1"/>
  <c r="L97" i="1"/>
  <c r="J97" i="1"/>
  <c r="P96" i="1"/>
  <c r="N96" i="1"/>
  <c r="L96" i="1"/>
  <c r="J96" i="1" s="1"/>
  <c r="L95" i="1"/>
  <c r="J95" i="1" s="1"/>
  <c r="P94" i="1"/>
  <c r="L94" i="1"/>
  <c r="J94" i="1" s="1"/>
  <c r="P93" i="1"/>
  <c r="L93" i="1"/>
  <c r="J93" i="1" s="1"/>
  <c r="N92" i="1"/>
  <c r="P92" i="1"/>
  <c r="L92" i="1"/>
  <c r="J92" i="1" s="1"/>
  <c r="P91" i="1"/>
  <c r="L91" i="1"/>
  <c r="J91" i="1" s="1"/>
  <c r="N90" i="1"/>
  <c r="P90" i="1"/>
  <c r="L90" i="1"/>
  <c r="J90" i="1" s="1"/>
  <c r="P89" i="1"/>
  <c r="N89" i="1"/>
  <c r="L89" i="1"/>
  <c r="J89" i="1"/>
  <c r="P88" i="1"/>
  <c r="N88" i="1"/>
  <c r="M121" i="1"/>
  <c r="N120" i="1" s="1"/>
  <c r="P120" i="1" s="1"/>
  <c r="L88" i="1"/>
  <c r="E121" i="1"/>
  <c r="F87" i="1"/>
  <c r="O86" i="1"/>
  <c r="P86" i="1" s="1"/>
  <c r="N86" i="1"/>
  <c r="K86" i="1"/>
  <c r="L86" i="1" s="1"/>
  <c r="N85" i="1"/>
  <c r="P85" i="1"/>
  <c r="L85" i="1"/>
  <c r="J85" i="1" s="1"/>
  <c r="P84" i="1"/>
  <c r="L84" i="1"/>
  <c r="J84" i="1" s="1"/>
  <c r="O83" i="1"/>
  <c r="K83" i="1"/>
  <c r="L83" i="1"/>
  <c r="J83" i="1" s="1"/>
  <c r="O82" i="1"/>
  <c r="P82" i="1" s="1"/>
  <c r="N82" i="1"/>
  <c r="J82" i="1"/>
  <c r="K82" i="1"/>
  <c r="L82" i="1" s="1"/>
  <c r="O81" i="1"/>
  <c r="P81" i="1" s="1"/>
  <c r="N81" i="1"/>
  <c r="N80" i="1"/>
  <c r="O80" i="1"/>
  <c r="P80" i="1" s="1"/>
  <c r="L80" i="1"/>
  <c r="K80" i="1"/>
  <c r="I79" i="1"/>
  <c r="I87" i="1" s="1"/>
  <c r="N78" i="1"/>
  <c r="O78" i="1" s="1"/>
  <c r="K78" i="1"/>
  <c r="J78" i="1" s="1"/>
  <c r="E79" i="1"/>
  <c r="E87" i="1" s="1"/>
  <c r="O77" i="1"/>
  <c r="N77" i="1"/>
  <c r="L77" i="1"/>
  <c r="K77" i="1"/>
  <c r="J77" i="1" s="1"/>
  <c r="K76" i="1"/>
  <c r="J76" i="1"/>
  <c r="F79" i="1"/>
  <c r="P75" i="1"/>
  <c r="P79" i="1" s="1"/>
  <c r="O75" i="1"/>
  <c r="N75" i="1"/>
  <c r="L75" i="1"/>
  <c r="L79" i="1" s="1"/>
  <c r="K75" i="1"/>
  <c r="J75" i="1"/>
  <c r="H79" i="1"/>
  <c r="H87" i="1" s="1"/>
  <c r="N73" i="1"/>
  <c r="M73" i="1"/>
  <c r="K73" i="1"/>
  <c r="P71" i="1"/>
  <c r="N71" i="1"/>
  <c r="L71" i="1"/>
  <c r="P70" i="1"/>
  <c r="N70" i="1"/>
  <c r="L70" i="1"/>
  <c r="P69" i="1"/>
  <c r="O69" i="1"/>
  <c r="N69" i="1"/>
  <c r="J69" i="1"/>
  <c r="F73" i="1"/>
  <c r="O68" i="1"/>
  <c r="N68" i="1"/>
  <c r="P68" i="1" s="1"/>
  <c r="L68" i="1"/>
  <c r="O67" i="1"/>
  <c r="N67" i="1"/>
  <c r="L67" i="1"/>
  <c r="I73" i="1"/>
  <c r="H73" i="1"/>
  <c r="G73" i="1"/>
  <c r="E73" i="1"/>
  <c r="P63" i="1"/>
  <c r="L63" i="1"/>
  <c r="J63" i="1" s="1"/>
  <c r="P62" i="1"/>
  <c r="N62" i="1"/>
  <c r="L62" i="1"/>
  <c r="J62" i="1"/>
  <c r="P61" i="1"/>
  <c r="N61" i="1"/>
  <c r="L61" i="1"/>
  <c r="J61" i="1" s="1"/>
  <c r="P60" i="1"/>
  <c r="N60" i="1"/>
  <c r="L60" i="1"/>
  <c r="J60" i="1" s="1"/>
  <c r="P59" i="1"/>
  <c r="L59" i="1"/>
  <c r="J59" i="1" s="1"/>
  <c r="N58" i="1"/>
  <c r="L58" i="1"/>
  <c r="J58" i="1"/>
  <c r="P57" i="1"/>
  <c r="N57" i="1"/>
  <c r="L57" i="1"/>
  <c r="J57" i="1" s="1"/>
  <c r="J56" i="1"/>
  <c r="L56" i="1"/>
  <c r="P55" i="1"/>
  <c r="L55" i="1"/>
  <c r="K55" i="1"/>
  <c r="P54" i="1"/>
  <c r="L54" i="1"/>
  <c r="J54" i="1" s="1"/>
  <c r="P53" i="1"/>
  <c r="N53" i="1"/>
  <c r="L53" i="1"/>
  <c r="J53" i="1" s="1"/>
  <c r="P52" i="1"/>
  <c r="N52" i="1"/>
  <c r="L52" i="1"/>
  <c r="J52" i="1" s="1"/>
  <c r="L51" i="1"/>
  <c r="J51" i="1" s="1"/>
  <c r="P50" i="1"/>
  <c r="L50" i="1"/>
  <c r="J50" i="1" s="1"/>
  <c r="P49" i="1"/>
  <c r="N49" i="1"/>
  <c r="L49" i="1"/>
  <c r="J49" i="1"/>
  <c r="O48" i="1"/>
  <c r="K48" i="1"/>
  <c r="P47" i="1"/>
  <c r="N47" i="1"/>
  <c r="L47" i="1"/>
  <c r="J47" i="1"/>
  <c r="P46" i="1"/>
  <c r="N46" i="1"/>
  <c r="L46" i="1"/>
  <c r="J46" i="1" s="1"/>
  <c r="P45" i="1"/>
  <c r="O45" i="1"/>
  <c r="N45" i="1"/>
  <c r="K45" i="1"/>
  <c r="L45" i="1" s="1"/>
  <c r="J45" i="1"/>
  <c r="P43" i="1"/>
  <c r="N43" i="1"/>
  <c r="L43" i="1"/>
  <c r="J43" i="1" s="1"/>
  <c r="L42" i="1"/>
  <c r="J42" i="1" s="1"/>
  <c r="N41" i="1"/>
  <c r="P41" i="1"/>
  <c r="L41" i="1"/>
  <c r="J41" i="1" s="1"/>
  <c r="P40" i="1"/>
  <c r="N40" i="1"/>
  <c r="L40" i="1"/>
  <c r="J40" i="1"/>
  <c r="P39" i="1"/>
  <c r="N39" i="1"/>
  <c r="L39" i="1"/>
  <c r="J39" i="1" s="1"/>
  <c r="N38" i="1"/>
  <c r="P38" i="1"/>
  <c r="L38" i="1"/>
  <c r="J38" i="1" s="1"/>
  <c r="L37" i="1"/>
  <c r="J37" i="1" s="1"/>
  <c r="P36" i="1"/>
  <c r="N36" i="1"/>
  <c r="L36" i="1"/>
  <c r="J36" i="1"/>
  <c r="P35" i="1"/>
  <c r="N35" i="1"/>
  <c r="J35" i="1"/>
  <c r="L35" i="1"/>
  <c r="P34" i="1"/>
  <c r="J34" i="1"/>
  <c r="L34" i="1"/>
  <c r="N33" i="1"/>
  <c r="P33" i="1"/>
  <c r="L33" i="1"/>
  <c r="J33" i="1"/>
  <c r="P32" i="1"/>
  <c r="N32" i="1"/>
  <c r="L32" i="1"/>
  <c r="J32" i="1"/>
  <c r="O31" i="1"/>
  <c r="O44" i="1" s="1"/>
  <c r="O65" i="1" s="1"/>
  <c r="N31" i="1"/>
  <c r="L31" i="1"/>
  <c r="K31" i="1"/>
  <c r="J31" i="1" s="1"/>
  <c r="P30" i="1"/>
  <c r="N30" i="1"/>
  <c r="L30" i="1"/>
  <c r="J30" i="1"/>
  <c r="P29" i="1"/>
  <c r="N29" i="1"/>
  <c r="L29" i="1"/>
  <c r="J29" i="1" s="1"/>
  <c r="N28" i="1"/>
  <c r="P28" i="1"/>
  <c r="L28" i="1"/>
  <c r="J28" i="1" s="1"/>
  <c r="P27" i="1"/>
  <c r="N27" i="1"/>
  <c r="L27" i="1"/>
  <c r="J27" i="1" s="1"/>
  <c r="N26" i="1"/>
  <c r="L26" i="1"/>
  <c r="J26" i="1" s="1"/>
  <c r="P25" i="1"/>
  <c r="L25" i="1"/>
  <c r="J25" i="1" s="1"/>
  <c r="N24" i="1"/>
  <c r="P24" i="1"/>
  <c r="J24" i="1"/>
  <c r="L24" i="1"/>
  <c r="P23" i="1"/>
  <c r="L23" i="1"/>
  <c r="J23" i="1" s="1"/>
  <c r="P22" i="1"/>
  <c r="L22" i="1"/>
  <c r="J22" i="1"/>
  <c r="P21" i="1"/>
  <c r="N21" i="1"/>
  <c r="L21" i="1"/>
  <c r="J21" i="1" s="1"/>
  <c r="P20" i="1"/>
  <c r="L20" i="1"/>
  <c r="N19" i="1"/>
  <c r="P19" i="1"/>
  <c r="L19" i="1"/>
  <c r="J19" i="1" s="1"/>
  <c r="G44" i="1"/>
  <c r="G65" i="1" s="1"/>
  <c r="N18" i="1"/>
  <c r="L18" i="1"/>
  <c r="J18" i="1" s="1"/>
  <c r="P17" i="1"/>
  <c r="L17" i="1"/>
  <c r="J17" i="1" s="1"/>
  <c r="F44" i="1"/>
  <c r="F65" i="1" s="1"/>
  <c r="E44" i="1"/>
  <c r="E65" i="1" s="1"/>
  <c r="E158" i="1" s="1"/>
  <c r="O15" i="1"/>
  <c r="K15" i="1"/>
  <c r="N14" i="1"/>
  <c r="P14" i="1"/>
  <c r="L14" i="1"/>
  <c r="J14" i="1" s="1"/>
  <c r="N13" i="1"/>
  <c r="P13" i="1"/>
  <c r="L13" i="1"/>
  <c r="J13" i="1" s="1"/>
  <c r="P12" i="1"/>
  <c r="L12" i="1"/>
  <c r="J12" i="1" s="1"/>
  <c r="H15" i="1"/>
  <c r="P11" i="1"/>
  <c r="N11" i="1"/>
  <c r="L11" i="1"/>
  <c r="J11" i="1" s="1"/>
  <c r="P10" i="1"/>
  <c r="N10" i="1"/>
  <c r="L10" i="1"/>
  <c r="J10" i="1" s="1"/>
  <c r="P9" i="1"/>
  <c r="L9" i="1"/>
  <c r="J9" i="1" s="1"/>
  <c r="E15" i="1"/>
  <c r="P8" i="1"/>
  <c r="I15" i="1"/>
  <c r="G15" i="1"/>
  <c r="F15" i="1"/>
  <c r="M4" i="1"/>
  <c r="P15" i="1" l="1"/>
  <c r="E160" i="1"/>
  <c r="P95" i="1"/>
  <c r="N95" i="1"/>
  <c r="I171" i="1"/>
  <c r="H175" i="1"/>
  <c r="H178" i="1" s="1"/>
  <c r="N9" i="1"/>
  <c r="N17" i="1"/>
  <c r="N23" i="1"/>
  <c r="N34" i="1"/>
  <c r="K44" i="1"/>
  <c r="K65" i="1" s="1"/>
  <c r="N55" i="1"/>
  <c r="P56" i="1"/>
  <c r="N56" i="1"/>
  <c r="M79" i="1"/>
  <c r="M87" i="1" s="1"/>
  <c r="O76" i="1"/>
  <c r="O79" i="1" s="1"/>
  <c r="O87" i="1" s="1"/>
  <c r="O158" i="1" s="1"/>
  <c r="O160" i="1" s="1"/>
  <c r="N76" i="1"/>
  <c r="N79" i="1" s="1"/>
  <c r="J86" i="1"/>
  <c r="F121" i="1"/>
  <c r="F158" i="1" s="1"/>
  <c r="F160" i="1" s="1"/>
  <c r="H138" i="1"/>
  <c r="O156" i="1"/>
  <c r="P144" i="1"/>
  <c r="N12" i="1"/>
  <c r="M15" i="1"/>
  <c r="H44" i="1"/>
  <c r="H65" i="1" s="1"/>
  <c r="P83" i="1"/>
  <c r="P87" i="1" s="1"/>
  <c r="N83" i="1"/>
  <c r="G121" i="1"/>
  <c r="P103" i="1"/>
  <c r="N103" i="1"/>
  <c r="J122" i="1"/>
  <c r="J138" i="1" s="1"/>
  <c r="L138" i="1"/>
  <c r="G156" i="1"/>
  <c r="I44" i="1"/>
  <c r="I65" i="1" s="1"/>
  <c r="L16" i="1"/>
  <c r="N25" i="1"/>
  <c r="P31" i="1"/>
  <c r="J73" i="1"/>
  <c r="L69" i="1"/>
  <c r="L73" i="1" s="1"/>
  <c r="H121" i="1"/>
  <c r="M138" i="1"/>
  <c r="P122" i="1"/>
  <c r="N122" i="1"/>
  <c r="P127" i="1"/>
  <c r="N127" i="1"/>
  <c r="H156" i="1"/>
  <c r="P154" i="1"/>
  <c r="N154" i="1"/>
  <c r="L8" i="1"/>
  <c r="P18" i="1"/>
  <c r="N50" i="1"/>
  <c r="P51" i="1"/>
  <c r="N51" i="1"/>
  <c r="P58" i="1"/>
  <c r="N63" i="1"/>
  <c r="J80" i="1"/>
  <c r="J88" i="1"/>
  <c r="L110" i="1"/>
  <c r="I121" i="1"/>
  <c r="J120" i="1" s="1"/>
  <c r="L120" i="1" s="1"/>
  <c r="I156" i="1"/>
  <c r="P67" i="1"/>
  <c r="P73" i="1" s="1"/>
  <c r="O73" i="1"/>
  <c r="P37" i="1"/>
  <c r="N37" i="1"/>
  <c r="P42" i="1"/>
  <c r="N42" i="1"/>
  <c r="J48" i="1"/>
  <c r="N8" i="1"/>
  <c r="N22" i="1"/>
  <c r="P26" i="1"/>
  <c r="L48" i="1"/>
  <c r="J55" i="1"/>
  <c r="K79" i="1"/>
  <c r="K87" i="1" s="1"/>
  <c r="P115" i="1"/>
  <c r="N115" i="1"/>
  <c r="J132" i="1"/>
  <c r="P48" i="1"/>
  <c r="N48" i="1"/>
  <c r="G79" i="1"/>
  <c r="G87" i="1" s="1"/>
  <c r="G158" i="1" s="1"/>
  <c r="G160" i="1" s="1"/>
  <c r="J79" i="1"/>
  <c r="O121" i="1"/>
  <c r="P110" i="1"/>
  <c r="P121" i="1" s="1"/>
  <c r="P132" i="1"/>
  <c r="N132" i="1"/>
  <c r="P156" i="1"/>
  <c r="P146" i="1"/>
  <c r="N146" i="1"/>
  <c r="N93" i="1"/>
  <c r="N101" i="1"/>
  <c r="N109" i="1"/>
  <c r="N111" i="1"/>
  <c r="N113" i="1"/>
  <c r="N125" i="1"/>
  <c r="N143" i="1"/>
  <c r="N152" i="1"/>
  <c r="K81" i="1"/>
  <c r="L81" i="1" s="1"/>
  <c r="L87" i="1" s="1"/>
  <c r="K110" i="1"/>
  <c r="K112" i="1"/>
  <c r="J124" i="1"/>
  <c r="N84" i="1"/>
  <c r="N91" i="1"/>
  <c r="N121" i="1" s="1"/>
  <c r="N99" i="1"/>
  <c r="N107" i="1"/>
  <c r="N119" i="1"/>
  <c r="N131" i="1"/>
  <c r="N135" i="1"/>
  <c r="L139" i="1"/>
  <c r="N141" i="1"/>
  <c r="N156" i="1" s="1"/>
  <c r="N150" i="1"/>
  <c r="N54" i="1"/>
  <c r="N59" i="1"/>
  <c r="N94" i="1"/>
  <c r="N102" i="1"/>
  <c r="N114" i="1"/>
  <c r="N126" i="1"/>
  <c r="I138" i="1"/>
  <c r="N153" i="1"/>
  <c r="J174" i="1"/>
  <c r="N174" i="1" s="1"/>
  <c r="L121" i="1" l="1"/>
  <c r="Q120" i="1" s="1"/>
  <c r="J139" i="1"/>
  <c r="J156" i="1" s="1"/>
  <c r="L156" i="1"/>
  <c r="J112" i="1"/>
  <c r="L112" i="1"/>
  <c r="N138" i="1"/>
  <c r="J16" i="1"/>
  <c r="L44" i="1"/>
  <c r="J171" i="1"/>
  <c r="J110" i="1"/>
  <c r="J121" i="1" s="1"/>
  <c r="K121" i="1"/>
  <c r="P138" i="1"/>
  <c r="I158" i="1"/>
  <c r="I160" i="1" s="1"/>
  <c r="J64" i="1"/>
  <c r="L64" i="1" s="1"/>
  <c r="J81" i="1"/>
  <c r="N15" i="1"/>
  <c r="J8" i="1"/>
  <c r="J15" i="1" s="1"/>
  <c r="L15" i="1"/>
  <c r="K158" i="1"/>
  <c r="K160" i="1" s="1"/>
  <c r="J87" i="1"/>
  <c r="H158" i="1"/>
  <c r="H160" i="1" s="1"/>
  <c r="H166" i="1" s="1"/>
  <c r="H168" i="1" s="1"/>
  <c r="N87" i="1"/>
  <c r="J44" i="1" l="1"/>
  <c r="J65" i="1" s="1"/>
  <c r="J158" i="1" s="1"/>
  <c r="J160" i="1" s="1"/>
  <c r="M16" i="1"/>
  <c r="I172" i="1"/>
  <c r="I173" i="1" s="1"/>
  <c r="I166" i="1"/>
  <c r="I168" i="1" s="1"/>
  <c r="Q64" i="1"/>
  <c r="L65" i="1"/>
  <c r="L158" i="1" s="1"/>
  <c r="L160" i="1" s="1"/>
  <c r="J172" i="1" l="1"/>
  <c r="J173" i="1" s="1"/>
  <c r="J166" i="1"/>
  <c r="J168" i="1" s="1"/>
  <c r="I175" i="1"/>
  <c r="I178" i="1" s="1"/>
  <c r="M171" i="1"/>
  <c r="P16" i="1"/>
  <c r="P44" i="1" s="1"/>
  <c r="N16" i="1"/>
  <c r="N44" i="1" s="1"/>
  <c r="M44" i="1"/>
  <c r="M65" i="1" s="1"/>
  <c r="N65" i="1" l="1"/>
  <c r="N158" i="1" s="1"/>
  <c r="N160" i="1" s="1"/>
  <c r="M158" i="1"/>
  <c r="M160" i="1" s="1"/>
  <c r="N64" i="1"/>
  <c r="P64" i="1" s="1"/>
  <c r="P65" i="1" s="1"/>
  <c r="P158" i="1" s="1"/>
  <c r="P160" i="1" s="1"/>
  <c r="J175" i="1"/>
  <c r="J178" i="1" s="1"/>
  <c r="N171" i="1"/>
  <c r="N172" i="1" l="1"/>
  <c r="N173" i="1" s="1"/>
  <c r="N175" i="1" s="1"/>
  <c r="N178" i="1" s="1"/>
  <c r="N166" i="1"/>
  <c r="N168" i="1" s="1"/>
  <c r="M172" i="1"/>
  <c r="M173" i="1" s="1"/>
  <c r="M175" i="1" s="1"/>
  <c r="M178" i="1" s="1"/>
  <c r="M166" i="1"/>
  <c r="M1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Pocock Krane</author>
  </authors>
  <commentList>
    <comment ref="D19" authorId="0" shapeId="0" xr:uid="{ABCD334C-1969-41A3-8836-B07C2E65454F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hotell booket</t>
        </r>
      </text>
    </comment>
    <comment ref="K19" authorId="0" shapeId="0" xr:uid="{1D86E428-405B-46C0-9EDC-ED6304540A3E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Hotell bookes året i forveien.</t>
        </r>
      </text>
    </comment>
    <comment ref="K31" authorId="0" shapeId="0" xr:uid="{7054EEA8-1ECF-4F37-BD82-249EAD1B3A73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-honorar P og VP inkl AGA 2940kNOK
-husleie VP 160kNOK
</t>
        </r>
      </text>
    </comment>
    <comment ref="O31" authorId="0" shapeId="0" xr:uid="{AB8CCC19-6EA4-41C3-9057-2B40874B1EA1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-honorar P og VP inkl AGA 3120kNOK
-husleie VP 170kNOK
</t>
        </r>
      </text>
    </comment>
    <comment ref="K43" authorId="0" shapeId="0" xr:uid="{EEAB78B9-2C49-4E30-80B2-A666CC71A583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SurveyXact bundet ut 21</t>
        </r>
      </text>
    </comment>
    <comment ref="K52" authorId="0" shapeId="0" xr:uid="{9610E81D-A82D-4280-BCFE-01B91B126D73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ELSA 3md oppsigelse</t>
        </r>
      </text>
    </comment>
    <comment ref="K54" authorId="0" shapeId="0" xr:uid="{C4D3D3AF-9F1C-4A51-987B-6EE01202EEC3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Tryg Legehjelp</t>
        </r>
      </text>
    </comment>
    <comment ref="D55" authorId="0" shapeId="0" xr:uid="{9C265A38-FF6D-4F08-874D-5591559628AE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bundet frem til apr21 (oppsigelsesfrist feb21)</t>
        </r>
      </text>
    </comment>
    <comment ref="D56" authorId="0" shapeId="0" xr:uid="{D1AA8478-D8DF-40DE-8D32-35F69F1A6A9C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bundet 21</t>
        </r>
      </text>
    </comment>
    <comment ref="K56" authorId="0" shapeId="0" xr:uid="{D2C59C2E-999D-42EA-AA67-529F50198D60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buntet i kontrakt vedr. arbeidsplasskonseptet 21</t>
        </r>
      </text>
    </comment>
    <comment ref="D57" authorId="0" shapeId="0" xr:uid="{490A4F53-038A-4665-B39E-4D058887C4B1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for å gå godkjent regnskapet.</t>
        </r>
      </text>
    </comment>
    <comment ref="D58" authorId="0" shapeId="0" xr:uid="{83474CC2-3288-42E0-AD41-77EA01A7FDF7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bundet ut 21</t>
        </r>
      </text>
    </comment>
    <comment ref="K67" authorId="0" shapeId="0" xr:uid="{EC7A336B-5060-4401-AD8E-2165EC279B3C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Estimat</t>
        </r>
      </text>
    </comment>
    <comment ref="O67" authorId="0" shapeId="0" xr:uid="{BD00D736-D5BC-4E5E-9BEF-3C23ADF8CED7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honorar til frikjøpte tillitsvalgte</t>
        </r>
      </text>
    </comment>
    <comment ref="K68" authorId="0" shapeId="0" xr:uid="{D6B85FEC-E876-4FB5-B616-5CEF2CB36C81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honorar til frikjøpte tillitsvalgte</t>
        </r>
      </text>
    </comment>
    <comment ref="O68" authorId="0" shapeId="0" xr:uid="{F2666AEE-FA71-46B5-9C04-3B7E1FCE37D8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honorar til frikjøpte tillitsvalgte</t>
        </r>
      </text>
    </comment>
    <comment ref="K69" authorId="0" shapeId="0" xr:uid="{5CC8ACCC-E80D-4B07-9247-BAECC097BDE2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Honorar til frikjøpte tillitsvalgte</t>
        </r>
      </text>
    </comment>
    <comment ref="O69" authorId="0" shapeId="0" xr:uid="{9241B9A5-931B-4188-9C84-18D837920F0E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honorar til frikjøpte tillitsvalgte</t>
        </r>
      </text>
    </comment>
    <comment ref="L75" authorId="0" shapeId="0" xr:uid="{C1592E35-AD82-4C25-A5A7-E18701D9EA27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- to komm. Rådgivere (nye)</t>
        </r>
      </text>
    </comment>
    <comment ref="P75" authorId="0" shapeId="0" xr:uid="{3C6EC3BE-E7F3-47CF-9380-E688846EED25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- 1FTE Komm. Rådgivere (ny)</t>
        </r>
      </text>
    </comment>
    <comment ref="L77" authorId="0" shapeId="0" xr:uid="{0BFBD572-A1DA-40F8-B129-B1C896E9254A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-1 student (avgang 2pers 2020, erstatning 1pers 2021 ikke ansatt ennå)
-økning karriererådgivning 0,4FTE ikke ansatte ennå</t>
        </r>
      </text>
    </comment>
    <comment ref="P77" authorId="0" shapeId="0" xr:uid="{74F1F313-A765-45BF-BF51-2B080CA9018C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-1 student 204kNOK (avgang 2pers 2020, erstatning 1pers 2021 ikke ansatt ennå)</t>
        </r>
      </text>
    </comment>
    <comment ref="L78" authorId="0" shapeId="0" xr:uid="{6EB3651B-215C-4519-8D69-6C5AFBFA7F61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Sekretærfunksjon for seksjonene</t>
        </r>
      </text>
    </comment>
    <comment ref="K83" authorId="0" shapeId="0" xr:uid="{EC970845-1A11-4D79-9190-F8001BA95D4D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GPTW (bundet 2021)
Bedriftshelse
Tilsynsrådet
Ergonomi antatt 50k</t>
        </r>
      </text>
    </comment>
    <comment ref="O83" authorId="0" shapeId="0" xr:uid="{EA43A313-2287-466A-BB82-82C958DAEEA1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Bedriftshelse
Tilsynsrådet
Ergonomi antatt 50k</t>
        </r>
      </text>
    </comment>
    <comment ref="K91" authorId="0" shapeId="0" xr:uid="{96CDC0C0-589D-4B2B-8AB1-EEAEFAC9DE63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-Gulesider 20k
-NTB 15k</t>
        </r>
      </text>
    </comment>
    <comment ref="K100" authorId="0" shapeId="0" xr:uid="{660B6DCF-F90E-4A57-BA7D-D64DF5D590C7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Ramsalt (juristen.no)</t>
        </r>
      </text>
    </comment>
    <comment ref="K109" authorId="0" shapeId="0" xr:uid="{51BD532D-7A8C-4B85-8D64-D5A8924D09D6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Fellesutgifter SAN</t>
        </r>
      </text>
    </comment>
    <comment ref="O109" authorId="0" shapeId="0" xr:uid="{80B02946-5F0C-40DC-9DCF-076CD724A49D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Fellesutgifter SAN</t>
        </r>
      </text>
    </comment>
    <comment ref="K116" authorId="0" shapeId="0" xr:uid="{6D98ED06-B6BC-42A3-B7EF-35499B817EFB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antatt avtalen med Actecan kan sies opp. Ikke funnet avtalen. Evt at medlemmer ikke gis mulighet til å benytte dem (selv om avtalen er gående). Betales pr. time iht liste.</t>
        </r>
      </text>
    </comment>
    <comment ref="K124" authorId="0" shapeId="0" xr:uid="{8CE501B4-46D8-4122-88E6-0FFB35C60C99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Intility, Sticos, Visma, Huldt&amp;Lillevik, MyMeet, Compello, zData, BizTrans
</t>
        </r>
      </text>
    </comment>
    <comment ref="K132" authorId="0" shapeId="0" xr:uid="{2A0F37FF-295A-4B54-8A7F-6887C0BE6A72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Avskrivning
Oppslagsløsning
ClickDimensjons
Lisens CRM
Velikehold CRM
</t>
        </r>
      </text>
    </comment>
    <comment ref="O132" authorId="0" shapeId="0" xr:uid="{15D46A5A-767C-4EE8-B45F-5603965C56A0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Avskrivning</t>
        </r>
      </text>
    </comment>
    <comment ref="K133" authorId="0" shapeId="0" xr:uid="{044415E5-49EB-483E-99A0-33CF2EB0037B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Avskrivning
Epi vedlikehold
SLA</t>
        </r>
      </text>
    </comment>
    <comment ref="O133" authorId="0" shapeId="0" xr:uid="{7E823C31-7180-4A8B-80EC-00A35B5F988A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Avskrivning
</t>
        </r>
      </text>
    </comment>
    <comment ref="K140" authorId="0" shapeId="0" xr:uid="{13A9A82F-7C98-41F1-87C6-D63FAF8306F3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kun lovpålagt revisjon. Resten er OU</t>
        </r>
      </text>
    </comment>
    <comment ref="O140" authorId="0" shapeId="0" xr:uid="{F14F2D32-45BA-4732-A2C9-EB413D7F2926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kun lovpålagt revisjon. Resten er OU</t>
        </r>
      </text>
    </comment>
    <comment ref="L141" authorId="0" shapeId="0" xr:uid="{F8D9B4A3-9C9B-4B15-A0B3-F0B8B1C6A577}">
      <text>
        <r>
          <rPr>
            <b/>
            <sz val="9"/>
            <color indexed="81"/>
            <rFont val="Tahoma"/>
            <charset val="1"/>
          </rPr>
          <t>Michael Pocock Krane:</t>
        </r>
        <r>
          <rPr>
            <sz val="9"/>
            <color indexed="81"/>
            <rFont val="Tahoma"/>
            <charset val="1"/>
          </rPr>
          <t xml:space="preserve">
kun strøm er variabel, resten er fast bundet til avtaler og avskrivning</t>
        </r>
      </text>
    </comment>
    <comment ref="O141" authorId="0" shapeId="0" xr:uid="{C80E9D11-20EF-4696-B5AC-BA3B73BBE8C3}">
      <text>
        <r>
          <rPr>
            <b/>
            <sz val="9"/>
            <color indexed="81"/>
            <rFont val="Tahoma"/>
            <charset val="1"/>
          </rPr>
          <t xml:space="preserve">Michael Pocock Krane:
</t>
        </r>
        <r>
          <rPr>
            <sz val="9"/>
            <color indexed="81"/>
            <rFont val="Tahoma"/>
            <family val="2"/>
          </rPr>
          <t>Bundet ut sept22 (KA9)
Bundet ut jun29 (KA7B)</t>
        </r>
      </text>
    </comment>
    <comment ref="P141" authorId="0" shapeId="0" xr:uid="{61854D7A-7744-43CD-8ED8-6C6B53A2910F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leie okt-des KA9 (kontrakt løper til sep22)</t>
        </r>
      </text>
    </comment>
    <comment ref="K144" authorId="0" shapeId="0" xr:uid="{C32290D8-7A8E-4DF4-BA7C-4F3BE2627931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kaffemaskin
Printer</t>
        </r>
      </text>
    </comment>
    <comment ref="O144" authorId="0" shapeId="0" xr:uid="{76F98DD3-7ABE-44E5-A488-33B09BDC0838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kaffemaskin
</t>
        </r>
      </text>
    </comment>
    <comment ref="K145" authorId="0" shapeId="0" xr:uid="{F76D8B34-A0C2-46E0-9A0B-7A4F5FBD5257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Avskrivning</t>
        </r>
      </text>
    </comment>
    <comment ref="O145" authorId="0" shapeId="0" xr:uid="{445EEBBA-B597-4EF4-8363-E071E270E031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Avskrivning</t>
        </r>
      </text>
    </comment>
    <comment ref="K152" authorId="0" shapeId="0" xr:uid="{9B2258F3-F810-4A59-9497-41535F8A1023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Parkering</t>
        </r>
      </text>
    </comment>
    <comment ref="O152" authorId="0" shapeId="0" xr:uid="{9E89721A-84FF-48E6-A923-C433D217503C}">
      <text>
        <r>
          <rPr>
            <b/>
            <sz val="9"/>
            <color indexed="81"/>
            <rFont val="Tahoma"/>
            <family val="2"/>
          </rPr>
          <t>Michael Pocock Krane:</t>
        </r>
        <r>
          <rPr>
            <sz val="9"/>
            <color indexed="81"/>
            <rFont val="Tahoma"/>
            <family val="2"/>
          </rPr>
          <t xml:space="preserve">
Parkering</t>
        </r>
      </text>
    </comment>
  </commentList>
</comments>
</file>

<file path=xl/sharedStrings.xml><?xml version="1.0" encoding="utf-8"?>
<sst xmlns="http://schemas.openxmlformats.org/spreadsheetml/2006/main" count="480" uniqueCount="257">
  <si>
    <t>Dato:</t>
  </si>
  <si>
    <t>Budsjett</t>
  </si>
  <si>
    <t>Prosjek</t>
  </si>
  <si>
    <t>Prosjekt</t>
  </si>
  <si>
    <t>Opprinnelig</t>
  </si>
  <si>
    <t>Revidert</t>
  </si>
  <si>
    <t>ansvarlig</t>
  </si>
  <si>
    <t>nr.</t>
  </si>
  <si>
    <t>navn</t>
  </si>
  <si>
    <t>Bundet Kost</t>
  </si>
  <si>
    <t>Virkelig</t>
  </si>
  <si>
    <t>Prognose</t>
  </si>
  <si>
    <t>Faste</t>
  </si>
  <si>
    <t>Variable</t>
  </si>
  <si>
    <t>Kommentarer</t>
  </si>
  <si>
    <t>OLE MARTIN</t>
  </si>
  <si>
    <t>Michael K</t>
  </si>
  <si>
    <t>inkl kontingentøkning 2,1% (22)</t>
  </si>
  <si>
    <t>Normalisering gjennom 2021 og normalt 2022</t>
  </si>
  <si>
    <t>(ved forlenget Korona, så blir denne også redusert)</t>
  </si>
  <si>
    <t>Renteinntekter fra JuristenesHus minus bankgebyrer gjennom året (Fast)</t>
  </si>
  <si>
    <t>INNTEKTER</t>
  </si>
  <si>
    <t>nei</t>
  </si>
  <si>
    <t>JAN</t>
  </si>
  <si>
    <t>Prisvinneren velges av uanvhengig jury. Prisen på konferansne kan variere ut fra prisvinnern</t>
  </si>
  <si>
    <t>Rettsikkkrhetskonferansen er åpen for alle, profilerer juss og juridisk kompetanse til flere enn medlemmene.</t>
  </si>
  <si>
    <t>delvis</t>
  </si>
  <si>
    <t xml:space="preserve">Den største utgiften er oppholdskostnader. </t>
  </si>
  <si>
    <t>?</t>
  </si>
  <si>
    <t>Justert iht landsmøtevedtak 0,5% av kontingent</t>
  </si>
  <si>
    <t>GRY</t>
  </si>
  <si>
    <t>pt. 4 stipend à 25kNOK</t>
  </si>
  <si>
    <t>Zynk ved behov (disponibelt for President)</t>
  </si>
  <si>
    <t>Samfunnsundersøkelsen (100k) evt. annet i tillegg f.eks MeToo, Stordataanalyser ol.</t>
  </si>
  <si>
    <t>Kvinneutvalg 140k, Inkluderings- og mangfoldsutvalg 140k</t>
  </si>
  <si>
    <t>(evt. utredninger etc. kommer i tillegg)</t>
  </si>
  <si>
    <t>TROND EGIL</t>
  </si>
  <si>
    <t>Div. artikler til medlemmer og tillitsvalgte. Fordeles på kurs og stands. Fratrukket refusjoner i OU ordningen</t>
  </si>
  <si>
    <t>Krane</t>
  </si>
  <si>
    <t>President 2mNOK, Visepresident 1,8mNOK</t>
  </si>
  <si>
    <t>JF har 12 lokale nettverk fra Østfinnmark til Stavanger. Lager faglige og sosiale samlinger for medlemmene der de bor.</t>
  </si>
  <si>
    <t>Tilsvarende som post 10075, men "nye nettverk"</t>
  </si>
  <si>
    <t>inkl nord-kongressen (21)</t>
  </si>
  <si>
    <t>Kontingent Transparency International</t>
  </si>
  <si>
    <t xml:space="preserve">Medlemme jobber gratis hovedutgiftene til telt og profileringsartikler </t>
  </si>
  <si>
    <t>Medlemmen i fagutvalgene jobber gratis, etter mal fra Dommerforeninges og Advokatforeningens utvalg.  Budsjettet er en buffer for eventuelle eksterne utredninger på fagområder  hvor vi ikke har fagutvalg</t>
  </si>
  <si>
    <t>Profileringsartikler, leie av lokaler, merkedsføring</t>
  </si>
  <si>
    <t>Gry</t>
  </si>
  <si>
    <t>inkl. flere prosjekter (21+22)</t>
  </si>
  <si>
    <t>LINDA</t>
  </si>
  <si>
    <t>Markedsføring av Juristforbundets produkter og tjenester, samt rekruttering: bla. annonsering, vervepremier, designbyrå</t>
  </si>
  <si>
    <t>Lønnsundersøkelse, medlemsundersøkelse, lisens for spørreundersøkelsesprogram (SurveyXact)</t>
  </si>
  <si>
    <t>Hovedstyrets utadrettede virksomhet</t>
  </si>
  <si>
    <t>ja</t>
  </si>
  <si>
    <t>Bestemmes av antall medlemmer. Fast kostnad</t>
  </si>
  <si>
    <t>Stort sett kostnader ifm styremøter</t>
  </si>
  <si>
    <t>Rummelhoff</t>
  </si>
  <si>
    <t xml:space="preserve">ELSA, INC, </t>
  </si>
  <si>
    <r>
      <t xml:space="preserve">Markedsførig bank og forsikring: annonser og designbyrå  (inkluderer 560k "trygg legehjelp" og </t>
    </r>
    <r>
      <rPr>
        <sz val="11"/>
        <color rgb="FFFF0000"/>
        <rFont val="Arial"/>
        <family val="2"/>
      </rPr>
      <t xml:space="preserve">250k "egen pensjonskonto" </t>
    </r>
    <r>
      <rPr>
        <sz val="11"/>
        <color theme="1"/>
        <rFont val="Calibri"/>
        <family val="2"/>
        <scheme val="minor"/>
      </rPr>
      <t>(21+22))</t>
    </r>
  </si>
  <si>
    <t>Arbeidsplasskonseptet 21+22 (Company pulse)</t>
  </si>
  <si>
    <t>METTE SOFIE</t>
  </si>
  <si>
    <t>Kontrollkomiteen</t>
  </si>
  <si>
    <t>RIKKE</t>
  </si>
  <si>
    <t>Høyskolestudiet</t>
  </si>
  <si>
    <t>Lederkonferansen</t>
  </si>
  <si>
    <t>Kursdeltakere som ikke dekkes av OU-ordningen</t>
  </si>
  <si>
    <t>KUTT 30%</t>
  </si>
  <si>
    <t>HOVEDSTYRET</t>
  </si>
  <si>
    <t>Privat</t>
  </si>
  <si>
    <t>Stat</t>
  </si>
  <si>
    <t>Kommune</t>
  </si>
  <si>
    <t>Dommerforeningen</t>
  </si>
  <si>
    <t>Student</t>
  </si>
  <si>
    <t>Antatt underforbruk</t>
  </si>
  <si>
    <t>SEKSJONER OG FORENINGER</t>
  </si>
  <si>
    <t>inkl +1FTE (21) + 1FTE (22), ref. sak 10 pkt 2). Lønnsjustering 2%</t>
  </si>
  <si>
    <t>Lønnsjustering 2,0%</t>
  </si>
  <si>
    <t>inkl 1FTE (21). ref. sak 10 pkt 2). Lønnsjustering 2,0%</t>
  </si>
  <si>
    <t>LØNNSKOSTNADER</t>
  </si>
  <si>
    <t>gruppeliv&amp;ulykke, Næringsforsikring, Reiseforsikring, SPK, Risikopensjon, pensjonslønn (Farner). Inkl økt dekning (bl.a. kursdeltakere) 21+22 350kNOK</t>
  </si>
  <si>
    <t>Normalt brukt ved langvarig sykdom eller foredrepermisjon + resepsjon 430kNOK (flyttet hit)</t>
  </si>
  <si>
    <t>Drift av kantinen + mat</t>
  </si>
  <si>
    <t>Rekruttering, Bedriftshelsetjeneste, GreatPlaceToWork, Nyttårsbord, Ergonomiske tilpasninger, Julegaver, interne undersøkelser</t>
  </si>
  <si>
    <t>Ledersamlinger + fellessamlinger</t>
  </si>
  <si>
    <t>Div. kurs ansatte, Livsnavigasjon, etterutdanning</t>
  </si>
  <si>
    <t>Hybridpensjon, YTP, Pensjonskompensasjon. (kost inkluderer relatert Arbeidsgiveravgift)</t>
  </si>
  <si>
    <t>PERSONALKOSTNADER</t>
  </si>
  <si>
    <t>Medieovervåkning, NTB, 1881</t>
  </si>
  <si>
    <t>2020 inkluderer EØS-debatt 68k. 21+22 = drift av P&amp;S avdeling og aktivitet</t>
  </si>
  <si>
    <t>Foto for bl.a. toårsberetningen</t>
  </si>
  <si>
    <t>Avdelingssamlinger &amp; fag Medlem &amp; marked</t>
  </si>
  <si>
    <t>Vervepremier, annonsering, telemarketing, giveaways, reisekostnader, giveaways, design byrå</t>
  </si>
  <si>
    <t>Pensjonsrådgivning til medlemmer</t>
  </si>
  <si>
    <t>RAGNHILD</t>
  </si>
  <si>
    <t>Juridisk bistand til medlemmer</t>
  </si>
  <si>
    <t>Advokatforsikring, Bidrag Tilsynsrådet, DNA kontingent for advokatkontoret</t>
  </si>
  <si>
    <t>KUTT 20%</t>
  </si>
  <si>
    <t>MARKEDSAKTIVITETER</t>
  </si>
  <si>
    <t>(Omdømmebygging, markedsøring ol.)</t>
  </si>
  <si>
    <r>
      <t xml:space="preserve">Drift IKT (Initility 1,5mNOK)), IT Konsulent (Lars-Kristian Rustad 0,3mNOK), lisenser/drift/vedlikehold regnskapssystem og PC utstyr. </t>
    </r>
    <r>
      <rPr>
        <sz val="10"/>
        <color rgb="FFFF0000"/>
        <rFont val="Arial"/>
        <family val="2"/>
      </rPr>
      <t>+750kNOK MyMeet teknisk support (21+22)</t>
    </r>
  </si>
  <si>
    <t>Drift og utvikling CRM-system: Avksrivning 1,1mNOK (fast), Lisenser 0,4mNOK (fast), vedlikehold/support 0,4mNOK (fast) og utvikling 0,5mNOK.</t>
  </si>
  <si>
    <t>Drift og utvikling av CMS (nettplattform). Avskrivning 0,3mNOK (fast), Lisenser 0,3mNOK (fast), vedlikehold 0,4MNOK (fast) og utvikling 0,3mNOK</t>
  </si>
  <si>
    <t>Rapporteringsverktøy økonomi</t>
  </si>
  <si>
    <t>Linda</t>
  </si>
  <si>
    <t>Teams for tillitsvalgte 1,5mNOK (21) lagt til, ref. HS vedtak 159/20</t>
  </si>
  <si>
    <t>Advokatkontorets saksbehandlingssystem</t>
  </si>
  <si>
    <t>Kutt</t>
  </si>
  <si>
    <t>IKT KOSTNADER</t>
  </si>
  <si>
    <t>gjelder som regel kostnader som kommer for sent for å få dem refundert.</t>
  </si>
  <si>
    <t>Husleie, felleskostnader, strøm, avskrivninger</t>
  </si>
  <si>
    <t>Snitt siste 5år 440kNOK, ca 200k dersom vi ekskluderer "ekstremåret" 2018</t>
  </si>
  <si>
    <t>Bruk og leie av kopimaskiner</t>
  </si>
  <si>
    <t>Avskrivning 50k (fast) + evt. behov for inventar gjennom året</t>
  </si>
  <si>
    <t>Simployer og Capitech</t>
  </si>
  <si>
    <t>(Simployer er personalsystemet, Capitech er timeregistreringssystemet)</t>
  </si>
  <si>
    <t>Papir, penner, blokker, plastlommer, servietter, pappkrus ol.</t>
  </si>
  <si>
    <t>Frankering og henting av post</t>
  </si>
  <si>
    <t>Div. aviser til sekretariatet og ansatte</t>
  </si>
  <si>
    <t>Telefoner inkl. abonnement, Bredbånd</t>
  </si>
  <si>
    <t>Reise, opphold, representasjon, organisasjonsbistand</t>
  </si>
  <si>
    <t>Konsulenter ifm lokaler, kjøp av JuristenesHus. 21 inkluderer bistand "ombygging 1.etg"</t>
  </si>
  <si>
    <t>Lovdata, Rettsdata, annen fagliteratur</t>
  </si>
  <si>
    <t>ANDRE DRIFTSKOSTNADER</t>
  </si>
  <si>
    <t>TOTALE KOSTNADER</t>
  </si>
  <si>
    <t>RESULTAT (oversk.(-) / undersk.(+))</t>
  </si>
  <si>
    <t>NOTE:</t>
  </si>
  <si>
    <t>KONSOLIDERT RESULTAT</t>
  </si>
  <si>
    <t>Konsolidert resultat Juristforbundet + JuristenesHus</t>
  </si>
  <si>
    <t>Resultat fra Juristforbundet (- = positivt, + = tap)</t>
  </si>
  <si>
    <t>Resultat fra JuristenesHus (- = positivt, + = tap)</t>
  </si>
  <si>
    <t>Resultat etter skatt</t>
  </si>
  <si>
    <t>Totalt Juristforbundet konsolidert</t>
  </si>
  <si>
    <t>LIKVIDITETSOVERSIKT</t>
  </si>
  <si>
    <t>Kontantbeholdning inngående</t>
  </si>
  <si>
    <t>(nov20)---&gt;</t>
  </si>
  <si>
    <t>Endring gjennom året</t>
  </si>
  <si>
    <t>Kontantbeholdning utgående Juristforbundet</t>
  </si>
  <si>
    <t>Kontantbeholdning utgående JuristenesHus</t>
  </si>
  <si>
    <t>Kontantbeholdning utgående konsolidert</t>
  </si>
  <si>
    <t>Likvider nødvendig for drift</t>
  </si>
  <si>
    <t>"frie likvider" (NB! Stor usikkerhet i anslaget)</t>
  </si>
  <si>
    <t>ANNONSEINNTEKTER JUKO</t>
  </si>
  <si>
    <t>KONTIGENTINNTEKTER</t>
  </si>
  <si>
    <t>Andre Inntekter</t>
  </si>
  <si>
    <t>OU-ADM GEBYR INNTEKTER</t>
  </si>
  <si>
    <t>RENTEINNTEKTER OG FINANSKOSTNADER</t>
  </si>
  <si>
    <t>FAKTURAGEBYR</t>
  </si>
  <si>
    <t>INNTEKTER FRA JUS</t>
  </si>
  <si>
    <t>JURISTDAGEN</t>
  </si>
  <si>
    <t>RETTSIKKERHETSPRISEN</t>
  </si>
  <si>
    <t>RETTSSIKKERHETSKONFERANSEN</t>
  </si>
  <si>
    <t>ARENDALSUKEN</t>
  </si>
  <si>
    <t>KOMMUNEPROSJEKTET</t>
  </si>
  <si>
    <t>JUSLINK</t>
  </si>
  <si>
    <t>POLITISKE SEMINARER</t>
  </si>
  <si>
    <t>HUMANITÆR INNSATS</t>
  </si>
  <si>
    <t>MASTEROPPGAVE, RETTSIKKERHET ( STUDENT )</t>
  </si>
  <si>
    <t>EKSTERNE KOMMUNIKASJONSTJENESTER</t>
  </si>
  <si>
    <t>POLITISK UTREDNING</t>
  </si>
  <si>
    <t>ØKOKRIM</t>
  </si>
  <si>
    <t>ORGANISASJONSUTVALGET</t>
  </si>
  <si>
    <t>DIVERSE UTVALG</t>
  </si>
  <si>
    <t>PROFILERINGSARTIKLER</t>
  </si>
  <si>
    <t>PRESIDENT</t>
  </si>
  <si>
    <t>FAFO YTRINGSFRIHET OG VARSLING</t>
  </si>
  <si>
    <t>JURISTFORUM</t>
  </si>
  <si>
    <t>TEAM NETTVERK LOKALT</t>
  </si>
  <si>
    <t>JURISTKONGRESS</t>
  </si>
  <si>
    <t>TRANSPARANCY INTERNATIONAL</t>
  </si>
  <si>
    <t>PROSJEKT BEDRE KJØNNSBALANSE</t>
  </si>
  <si>
    <t>FAGUTVALG</t>
  </si>
  <si>
    <t>LEGAL WALK</t>
  </si>
  <si>
    <t>TECH-FORUM</t>
  </si>
  <si>
    <t>MEDLEMSFORVALTNING</t>
  </si>
  <si>
    <t>STATISTISK PRODUKSJON</t>
  </si>
  <si>
    <t>KONTINGENT Akademikerne</t>
  </si>
  <si>
    <t>LANDSMØTE</t>
  </si>
  <si>
    <t>AKADEMIKERPRISEN</t>
  </si>
  <si>
    <t>TOPPTILITSKONFERANSE</t>
  </si>
  <si>
    <t>NJ-PENSJONISTER</t>
  </si>
  <si>
    <t>Internasjonale samarbeidsprosjekter</t>
  </si>
  <si>
    <t>HOVEDSTYRET - rest pott 10 % regelen</t>
  </si>
  <si>
    <t>BANK / FORSIKRING</t>
  </si>
  <si>
    <t>ADMIN KONTROLL</t>
  </si>
  <si>
    <t>EKSTERNT ANALYSEARBEID</t>
  </si>
  <si>
    <t>KOMITEER</t>
  </si>
  <si>
    <t>STYRKING TILLITSVALGTES ROLLE</t>
  </si>
  <si>
    <t>LEDERKONFERANSEN</t>
  </si>
  <si>
    <t>KURS / SEMINAR FOR LEDERE</t>
  </si>
  <si>
    <t>KVINNENETTVERKET</t>
  </si>
  <si>
    <t>ÅPNING AV KURS FOR TILLITSVALGTE</t>
  </si>
  <si>
    <t>ANDRE PERSONALFORSIKRINGER</t>
  </si>
  <si>
    <t>INNLEID PERSONAL</t>
  </si>
  <si>
    <t>KANTINE</t>
  </si>
  <si>
    <t>TEAMSAMLING,PERSONALSEMINAR</t>
  </si>
  <si>
    <t>KOMPETANSEHEVING</t>
  </si>
  <si>
    <t>KOLLEKTIV PENSJONSFORSIKRING</t>
  </si>
  <si>
    <t>TRYKKSAK/TOÅRSBERETNING</t>
  </si>
  <si>
    <t>ELEKTRONISK MARKEDSFØRING</t>
  </si>
  <si>
    <t>POLITISK PÅVIRKNING</t>
  </si>
  <si>
    <t>MEDIEKONTAKT</t>
  </si>
  <si>
    <t>FOTODOKUMENTAR</t>
  </si>
  <si>
    <t>VISUELL PROFIL</t>
  </si>
  <si>
    <t>KOMMUNIKASJON DRIFT</t>
  </si>
  <si>
    <t>BANK/FORSIKRING</t>
  </si>
  <si>
    <t>DRIFT</t>
  </si>
  <si>
    <t>FOTOBANK</t>
  </si>
  <si>
    <t>MEDLEMSSERVICE DRIFT</t>
  </si>
  <si>
    <t>JURISTKONTAKT DRIFT</t>
  </si>
  <si>
    <t>FORNYING AV JUKO</t>
  </si>
  <si>
    <t>NORDISK MØTE</t>
  </si>
  <si>
    <t>TRYKKSAKER, DIV. BROSJYRER</t>
  </si>
  <si>
    <t>MILJØFYRTÅRN</t>
  </si>
  <si>
    <t>JF-STUD MARKEDSFØRING</t>
  </si>
  <si>
    <t>REISE-OG OPPHOLD DRIFT</t>
  </si>
  <si>
    <t>TIDSSKRIFTER OG AVTALEVERK</t>
  </si>
  <si>
    <t>AKADEMIKERNE (MØTER)</t>
  </si>
  <si>
    <t>NEMNDSBEHANDLING KS OMRÅDET</t>
  </si>
  <si>
    <t>KURSDELTAGERE UTENOM OU</t>
  </si>
  <si>
    <t>KOSTNADER KONFLIKTBEREDSKAP/STREIK</t>
  </si>
  <si>
    <t>DRIFT LA-TEAMET</t>
  </si>
  <si>
    <t>MENTORORDNING, NJ-STUD</t>
  </si>
  <si>
    <t>PENSJONSRÅDGIVNING</t>
  </si>
  <si>
    <t>BISTAND ENKELTSAKER</t>
  </si>
  <si>
    <t>DRIFT ADVOKATKONTORET</t>
  </si>
  <si>
    <t>KARRIERETJENESTER</t>
  </si>
  <si>
    <t>INTERNETT UTVIKLING</t>
  </si>
  <si>
    <t>CRM/KUNDESYSTEM</t>
  </si>
  <si>
    <t>IKT DRIFT</t>
  </si>
  <si>
    <t>PORTAL DRIFT " MIN SIDE "</t>
  </si>
  <si>
    <t>TILRETTELEGGING E-FAKTURA</t>
  </si>
  <si>
    <t>INTERNETT DRIFT</t>
  </si>
  <si>
    <t>INTEGRERING SYSTEMER</t>
  </si>
  <si>
    <t>ELEKTRONISK REISEREGNING</t>
  </si>
  <si>
    <t>CRM / KUNDESYSTEM DRIFT BRUK 50076</t>
  </si>
  <si>
    <t>NYTT CRM SYSTEM</t>
  </si>
  <si>
    <t>NYTT NETTVERKTØY</t>
  </si>
  <si>
    <t>ONESTOP REPORTING</t>
  </si>
  <si>
    <t>IT/WEB utvalget</t>
  </si>
  <si>
    <t>JURIDISK BISTAND, NYTT SYSTEM.</t>
  </si>
  <si>
    <t>OU-MIDLER SOM IKKE BLIR REFUNDERT</t>
  </si>
  <si>
    <t>REVISOR</t>
  </si>
  <si>
    <t>LOKALKOSTNADER</t>
  </si>
  <si>
    <t>AVSKRIVNINGER/TAP PÅ KRAV</t>
  </si>
  <si>
    <t>UFORUTSETTE KOSTNADER/INNTEKTER</t>
  </si>
  <si>
    <t>MASKINER(LEIE-SERVICE)</t>
  </si>
  <si>
    <t>INVENTAR/MASKINER</t>
  </si>
  <si>
    <t>TIDSREGISTRERINGSSYSTEMET</t>
  </si>
  <si>
    <t>REKVISITA</t>
  </si>
  <si>
    <t>PORTO</t>
  </si>
  <si>
    <t>TIDSSKRIFTER</t>
  </si>
  <si>
    <t>TELEFON OG FAKS</t>
  </si>
  <si>
    <t>BEYOND BUDGETING</t>
  </si>
  <si>
    <t>DISPONIBELT FOR GENERALSEKRETÆR</t>
  </si>
  <si>
    <t>DIVERSE RÅDGIVNING</t>
  </si>
  <si>
    <t>BIBLIOTEK</t>
  </si>
  <si>
    <t>Budsjettforslag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</si>
</sst>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#,##0;[Blue]\-#,##0"/>
    <numFmt numFmtId="166" formatCode="_(* #,##0_);_(* \(#,##0\);_(* &quot;-&quot;??_);_(@_)"/>
    <numFmt numFmtId="167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00B0F0"/>
      <name val="Calibri"/>
      <family val="2"/>
    </font>
    <font>
      <sz val="11"/>
      <color rgb="FFFF0000"/>
      <name val="Arial"/>
      <family val="2"/>
    </font>
    <font>
      <sz val="10"/>
      <color rgb="FFFF0000"/>
      <name val="Calibri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0" tint="-0.249977111117893"/>
        <bgColor theme="4" tint="0.59999389629810485"/>
      </patternFill>
    </fill>
    <fill>
      <patternFill patternType="solid">
        <fgColor rgb="FFFFFF00"/>
        <bgColor theme="4" tint="0.59999389629810485"/>
      </patternFill>
    </fill>
  </fills>
  <borders count="1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7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4" fillId="0" borderId="0"/>
  </cellStyleXfs>
  <cellXfs count="62">
    <xf numFmtId="0" fontId="0" fillId="0" borderId="0" xfId="0"/>
    <xf numFmtId="0" fontId="1" fillId="0" borderId="0" xfId="4"/>
    <xf numFmtId="0" fontId="5" fillId="3" borderId="1" xfId="5" applyFont="1" applyFill="1" applyBorder="1"/>
    <xf numFmtId="0" fontId="5" fillId="3" borderId="0" xfId="5" applyFont="1" applyFill="1"/>
    <xf numFmtId="0" fontId="6" fillId="3" borderId="1" xfId="5" applyFont="1" applyFill="1" applyBorder="1"/>
    <xf numFmtId="164" fontId="6" fillId="3" borderId="1" xfId="5" applyNumberFormat="1" applyFont="1" applyFill="1" applyBorder="1"/>
    <xf numFmtId="0" fontId="7" fillId="4" borderId="2" xfId="3" applyFont="1" applyFill="1" applyBorder="1" applyAlignment="1" applyProtection="1">
      <alignment horizontal="center"/>
    </xf>
    <xf numFmtId="0" fontId="8" fillId="4" borderId="1" xfId="3" applyFont="1" applyFill="1" applyBorder="1" applyProtection="1"/>
    <xf numFmtId="0" fontId="8" fillId="4" borderId="1" xfId="3" applyFont="1" applyFill="1" applyBorder="1" applyAlignment="1" applyProtection="1">
      <alignment horizontal="center"/>
    </xf>
    <xf numFmtId="0" fontId="7" fillId="5" borderId="1" xfId="3" applyFont="1" applyFill="1" applyBorder="1" applyAlignment="1" applyProtection="1">
      <alignment horizontal="center"/>
    </xf>
    <xf numFmtId="0" fontId="1" fillId="5" borderId="0" xfId="4" applyFill="1"/>
    <xf numFmtId="49" fontId="7" fillId="4" borderId="2" xfId="3" applyNumberFormat="1" applyFont="1" applyFill="1" applyBorder="1" applyAlignment="1" applyProtection="1">
      <alignment horizontal="center"/>
    </xf>
    <xf numFmtId="49" fontId="7" fillId="4" borderId="1" xfId="3" applyNumberFormat="1" applyFont="1" applyFill="1" applyBorder="1" applyAlignment="1" applyProtection="1">
      <alignment horizontal="center"/>
    </xf>
    <xf numFmtId="49" fontId="7" fillId="4" borderId="0" xfId="3" applyNumberFormat="1" applyFont="1" applyFill="1" applyBorder="1" applyAlignment="1" applyProtection="1">
      <alignment horizontal="center"/>
    </xf>
    <xf numFmtId="0" fontId="6" fillId="6" borderId="1" xfId="5" applyFont="1" applyFill="1" applyBorder="1"/>
    <xf numFmtId="165" fontId="6" fillId="3" borderId="1" xfId="5" applyNumberFormat="1" applyFont="1" applyFill="1" applyBorder="1"/>
    <xf numFmtId="0" fontId="4" fillId="0" borderId="0" xfId="5"/>
    <xf numFmtId="165" fontId="1" fillId="0" borderId="0" xfId="4" applyNumberFormat="1"/>
    <xf numFmtId="0" fontId="2" fillId="0" borderId="0" xfId="4" applyFont="1"/>
    <xf numFmtId="0" fontId="9" fillId="7" borderId="3" xfId="5" applyFont="1" applyFill="1" applyBorder="1"/>
    <xf numFmtId="0" fontId="10" fillId="8" borderId="3" xfId="5" applyFont="1" applyFill="1" applyBorder="1"/>
    <xf numFmtId="165" fontId="11" fillId="7" borderId="3" xfId="5" applyNumberFormat="1" applyFont="1" applyFill="1" applyBorder="1"/>
    <xf numFmtId="0" fontId="6" fillId="6" borderId="4" xfId="5" applyFont="1" applyFill="1" applyBorder="1"/>
    <xf numFmtId="165" fontId="6" fillId="3" borderId="4" xfId="5" applyNumberFormat="1" applyFont="1" applyFill="1" applyBorder="1"/>
    <xf numFmtId="0" fontId="6" fillId="6" borderId="5" xfId="5" applyFont="1" applyFill="1" applyBorder="1"/>
    <xf numFmtId="165" fontId="6" fillId="3" borderId="5" xfId="5" applyNumberFormat="1" applyFont="1" applyFill="1" applyBorder="1"/>
    <xf numFmtId="0" fontId="4" fillId="0" borderId="0" xfId="5" quotePrefix="1"/>
    <xf numFmtId="0" fontId="6" fillId="6" borderId="0" xfId="5" applyFont="1" applyFill="1"/>
    <xf numFmtId="0" fontId="13" fillId="6" borderId="0" xfId="5" applyFont="1" applyFill="1"/>
    <xf numFmtId="165" fontId="6" fillId="3" borderId="0" xfId="5" applyNumberFormat="1" applyFont="1" applyFill="1"/>
    <xf numFmtId="9" fontId="15" fillId="0" borderId="0" xfId="2" applyFont="1" applyAlignment="1">
      <alignment horizontal="left"/>
    </xf>
    <xf numFmtId="0" fontId="16" fillId="7" borderId="6" xfId="5" applyFont="1" applyFill="1" applyBorder="1"/>
    <xf numFmtId="0" fontId="17" fillId="8" borderId="6" xfId="5" applyFont="1" applyFill="1" applyBorder="1"/>
    <xf numFmtId="165" fontId="17" fillId="7" borderId="6" xfId="5" applyNumberFormat="1" applyFont="1" applyFill="1" applyBorder="1"/>
    <xf numFmtId="165" fontId="13" fillId="3" borderId="0" xfId="5" applyNumberFormat="1" applyFont="1" applyFill="1"/>
    <xf numFmtId="0" fontId="15" fillId="0" borderId="0" xfId="5" applyFont="1"/>
    <xf numFmtId="0" fontId="18" fillId="0" borderId="0" xfId="4" applyFont="1"/>
    <xf numFmtId="0" fontId="16" fillId="7" borderId="3" xfId="5" applyFont="1" applyFill="1" applyBorder="1"/>
    <xf numFmtId="0" fontId="17" fillId="8" borderId="3" xfId="5" applyFont="1" applyFill="1" applyBorder="1"/>
    <xf numFmtId="165" fontId="17" fillId="7" borderId="3" xfId="5" applyNumberFormat="1" applyFont="1" applyFill="1" applyBorder="1"/>
    <xf numFmtId="0" fontId="16" fillId="7" borderId="7" xfId="5" applyFont="1" applyFill="1" applyBorder="1"/>
    <xf numFmtId="0" fontId="4" fillId="9" borderId="8" xfId="5" applyFill="1" applyBorder="1"/>
    <xf numFmtId="165" fontId="16" fillId="9" borderId="8" xfId="5" applyNumberFormat="1" applyFont="1" applyFill="1" applyBorder="1"/>
    <xf numFmtId="165" fontId="16" fillId="10" borderId="8" xfId="5" applyNumberFormat="1" applyFont="1" applyFill="1" applyBorder="1"/>
    <xf numFmtId="166" fontId="4" fillId="0" borderId="0" xfId="5" applyNumberFormat="1" applyProtection="1">
      <protection locked="0"/>
    </xf>
    <xf numFmtId="0" fontId="19" fillId="0" borderId="0" xfId="5" applyFont="1" applyProtection="1">
      <protection locked="0"/>
    </xf>
    <xf numFmtId="0" fontId="19" fillId="0" borderId="0" xfId="5" applyFont="1" applyAlignment="1">
      <alignment horizontal="right"/>
    </xf>
    <xf numFmtId="165" fontId="19" fillId="0" borderId="0" xfId="5" applyNumberFormat="1" applyFont="1"/>
    <xf numFmtId="0" fontId="19" fillId="0" borderId="0" xfId="5" applyFont="1"/>
    <xf numFmtId="0" fontId="20" fillId="0" borderId="0" xfId="4" applyFont="1"/>
    <xf numFmtId="165" fontId="4" fillId="0" borderId="0" xfId="5" applyNumberFormat="1"/>
    <xf numFmtId="0" fontId="3" fillId="0" borderId="0" xfId="4" applyFont="1"/>
    <xf numFmtId="0" fontId="18" fillId="0" borderId="0" xfId="5" applyFont="1" applyAlignment="1">
      <alignment vertical="center"/>
    </xf>
    <xf numFmtId="166" fontId="18" fillId="0" borderId="0" xfId="1" applyNumberFormat="1" applyFont="1"/>
    <xf numFmtId="0" fontId="18" fillId="0" borderId="9" xfId="5" applyFont="1" applyBorder="1" applyAlignment="1">
      <alignment vertical="center"/>
    </xf>
    <xf numFmtId="166" fontId="18" fillId="0" borderId="9" xfId="1" applyNumberFormat="1" applyFont="1" applyBorder="1"/>
    <xf numFmtId="0" fontId="21" fillId="0" borderId="0" xfId="5" applyFont="1" applyProtection="1">
      <protection locked="0"/>
    </xf>
    <xf numFmtId="166" fontId="21" fillId="0" borderId="0" xfId="1" applyNumberFormat="1" applyFont="1" applyProtection="1">
      <protection locked="0"/>
    </xf>
    <xf numFmtId="0" fontId="18" fillId="0" borderId="6" xfId="5" applyFont="1" applyBorder="1" applyAlignment="1">
      <alignment vertical="center"/>
    </xf>
    <xf numFmtId="0" fontId="18" fillId="0" borderId="6" xfId="4" applyFont="1" applyBorder="1"/>
    <xf numFmtId="166" fontId="18" fillId="0" borderId="6" xfId="1" applyNumberFormat="1" applyFont="1" applyBorder="1"/>
    <xf numFmtId="166" fontId="1" fillId="0" borderId="0" xfId="4" applyNumberFormat="1"/>
  </cellXfs>
  <cellStyles count="6">
    <cellStyle name="20 % – uthevingsfarge 3" xfId="3" builtinId="38"/>
    <cellStyle name="Komma" xfId="1" builtinId="3"/>
    <cellStyle name="Normal" xfId="0" builtinId="0"/>
    <cellStyle name="Normal 2" xfId="4" xr:uid="{2F1ABAB8-04E5-41C0-A626-85BCAADF5647}"/>
    <cellStyle name="Normal 5" xfId="5" xr:uid="{5906C142-DF0F-4CBC-9D70-2EF05497C89F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2</xdr:col>
      <xdr:colOff>34290</xdr:colOff>
      <xdr:row>3</xdr:row>
      <xdr:rowOff>148590</xdr:rowOff>
    </xdr:to>
    <xdr:pic>
      <xdr:nvPicPr>
        <xdr:cNvPr id="2" name="Picture 295">
          <a:extLst>
            <a:ext uri="{FF2B5EF4-FFF2-40B4-BE49-F238E27FC236}">
              <a16:creationId xmlns:a16="http://schemas.microsoft.com/office/drawing/2014/main" id="{7997C9AB-4352-484F-A489-9EBA62D118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777240" cy="777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7DE86-D630-4416-889D-DD6518FC0DD4}">
  <sheetPr>
    <pageSetUpPr fitToPage="1"/>
  </sheetPr>
  <dimension ref="A2:S183"/>
  <sheetViews>
    <sheetView tabSelected="1" topLeftCell="B1" zoomScale="85" zoomScaleNormal="85" workbookViewId="0">
      <pane xSplit="2" ySplit="7" topLeftCell="D8" activePane="bottomRight" state="frozen"/>
      <selection activeCell="B1" sqref="B1"/>
      <selection pane="topRight" activeCell="D1" sqref="D1"/>
      <selection pane="bottomLeft" activeCell="B8" sqref="B8"/>
      <selection pane="bottomRight" activeCell="C2" sqref="C2"/>
    </sheetView>
  </sheetViews>
  <sheetFormatPr baseColWidth="10" defaultColWidth="11.42578125" defaultRowHeight="15" outlineLevelRow="2" outlineLevelCol="1" x14ac:dyDescent="0.25"/>
  <cols>
    <col min="1" max="1" width="0" style="1" hidden="1" customWidth="1"/>
    <col min="2" max="2" width="11.42578125" style="1"/>
    <col min="3" max="3" width="24.140625" style="1" customWidth="1"/>
    <col min="4" max="4" width="12.5703125" style="1" hidden="1" customWidth="1"/>
    <col min="5" max="10" width="12.28515625" style="1" customWidth="1"/>
    <col min="11" max="12" width="12.28515625" style="1" customWidth="1" outlineLevel="1"/>
    <col min="13" max="14" width="12.28515625" style="1" customWidth="1"/>
    <col min="15" max="16" width="12.28515625" style="1" customWidth="1" outlineLevel="1"/>
    <col min="17" max="17" width="75.5703125" style="1" customWidth="1"/>
    <col min="18" max="16384" width="11.42578125" style="1"/>
  </cols>
  <sheetData>
    <row r="2" spans="1:19" ht="23.25" x14ac:dyDescent="0.35">
      <c r="C2" s="2" t="s">
        <v>256</v>
      </c>
      <c r="D2" s="3"/>
      <c r="E2" s="3"/>
      <c r="F2" s="3"/>
      <c r="G2" s="3"/>
    </row>
    <row r="4" spans="1:19" x14ac:dyDescent="0.25">
      <c r="I4" s="4" t="s">
        <v>0</v>
      </c>
      <c r="J4" s="4"/>
      <c r="K4" s="4"/>
      <c r="L4" s="4"/>
      <c r="M4" s="5">
        <f ca="1">TODAY()</f>
        <v>44170</v>
      </c>
      <c r="N4" s="5"/>
      <c r="O4" s="4"/>
      <c r="P4" s="4"/>
    </row>
    <row r="5" spans="1:19" x14ac:dyDescent="0.25">
      <c r="B5" s="6"/>
      <c r="C5" s="7"/>
      <c r="D5" s="7"/>
      <c r="E5" s="8">
        <v>2017</v>
      </c>
      <c r="F5" s="8">
        <v>2018</v>
      </c>
      <c r="G5" s="8">
        <v>2019</v>
      </c>
      <c r="H5" s="8">
        <v>2020</v>
      </c>
      <c r="I5" s="9">
        <v>2021</v>
      </c>
      <c r="J5" s="9">
        <v>2021</v>
      </c>
      <c r="K5" s="9">
        <v>2021</v>
      </c>
      <c r="L5" s="9">
        <v>2021</v>
      </c>
      <c r="M5" s="9">
        <v>2022</v>
      </c>
      <c r="N5" s="9">
        <v>2022</v>
      </c>
      <c r="O5" s="9">
        <v>2022</v>
      </c>
      <c r="P5" s="9">
        <v>2022</v>
      </c>
    </row>
    <row r="6" spans="1:19" x14ac:dyDescent="0.25">
      <c r="A6" s="10" t="s">
        <v>1</v>
      </c>
      <c r="B6" s="11" t="s">
        <v>2</v>
      </c>
      <c r="C6" s="12" t="s">
        <v>3</v>
      </c>
      <c r="D6" s="12"/>
      <c r="E6" s="12"/>
      <c r="F6" s="12"/>
      <c r="G6" s="12"/>
      <c r="H6" s="12"/>
      <c r="I6" s="12" t="s">
        <v>4</v>
      </c>
      <c r="J6" s="12" t="s">
        <v>5</v>
      </c>
      <c r="K6" s="12"/>
      <c r="L6" s="12"/>
      <c r="M6" s="12" t="s">
        <v>4</v>
      </c>
      <c r="N6" s="12" t="s">
        <v>5</v>
      </c>
      <c r="O6" s="12"/>
      <c r="P6" s="12"/>
    </row>
    <row r="7" spans="1:19" ht="15.75" thickBot="1" x14ac:dyDescent="0.3">
      <c r="A7" s="10" t="s">
        <v>6</v>
      </c>
      <c r="B7" s="11" t="s">
        <v>7</v>
      </c>
      <c r="C7" s="12" t="s">
        <v>8</v>
      </c>
      <c r="D7" s="12" t="s">
        <v>9</v>
      </c>
      <c r="E7" s="12" t="s">
        <v>10</v>
      </c>
      <c r="F7" s="12" t="s">
        <v>10</v>
      </c>
      <c r="G7" s="12" t="s">
        <v>10</v>
      </c>
      <c r="H7" s="12" t="s">
        <v>11</v>
      </c>
      <c r="I7" s="12" t="s">
        <v>1</v>
      </c>
      <c r="J7" s="12" t="s">
        <v>1</v>
      </c>
      <c r="K7" s="12" t="s">
        <v>12</v>
      </c>
      <c r="L7" s="12" t="s">
        <v>13</v>
      </c>
      <c r="M7" s="12" t="s">
        <v>1</v>
      </c>
      <c r="N7" s="12" t="s">
        <v>1</v>
      </c>
      <c r="O7" s="12" t="s">
        <v>12</v>
      </c>
      <c r="P7" s="12" t="s">
        <v>13</v>
      </c>
      <c r="Q7" s="13" t="s">
        <v>14</v>
      </c>
    </row>
    <row r="8" spans="1:19" ht="15.75" hidden="1" outlineLevel="1" thickBot="1" x14ac:dyDescent="0.3">
      <c r="A8" s="1" t="s">
        <v>15</v>
      </c>
      <c r="B8" s="14">
        <v>15012</v>
      </c>
      <c r="C8" s="14" t="s">
        <v>141</v>
      </c>
      <c r="D8" s="14"/>
      <c r="E8" s="15">
        <v>-1608447.93</v>
      </c>
      <c r="F8" s="15">
        <v>-1448007.23</v>
      </c>
      <c r="G8" s="15">
        <v>-1188108.3500000001</v>
      </c>
      <c r="H8" s="15">
        <v>-1120000</v>
      </c>
      <c r="I8" s="15">
        <v>-1100000</v>
      </c>
      <c r="J8" s="15">
        <f t="shared" ref="J8:J14" si="0">+K8+L8</f>
        <v>-1100000</v>
      </c>
      <c r="K8" s="15">
        <v>0</v>
      </c>
      <c r="L8" s="15">
        <f t="shared" ref="L8:L14" si="1">+I8-K8</f>
        <v>-1100000</v>
      </c>
      <c r="M8" s="15">
        <v>-1100000</v>
      </c>
      <c r="N8" s="15">
        <f>+M8</f>
        <v>-1100000</v>
      </c>
      <c r="O8" s="15">
        <v>0</v>
      </c>
      <c r="P8" s="15">
        <f>+M8-O8</f>
        <v>-1100000</v>
      </c>
      <c r="Q8" s="16"/>
      <c r="S8" s="17"/>
    </row>
    <row r="9" spans="1:19" ht="15.75" hidden="1" outlineLevel="1" thickBot="1" x14ac:dyDescent="0.3">
      <c r="A9" s="1" t="s">
        <v>16</v>
      </c>
      <c r="B9" s="14">
        <v>50014</v>
      </c>
      <c r="C9" s="14" t="s">
        <v>142</v>
      </c>
      <c r="D9" s="14"/>
      <c r="E9" s="15">
        <v>-71199299.409999996</v>
      </c>
      <c r="F9" s="15">
        <v>-76478104</v>
      </c>
      <c r="G9" s="15">
        <v>-77766511</v>
      </c>
      <c r="H9" s="15">
        <v>-79345839</v>
      </c>
      <c r="I9" s="15">
        <v>-80660000</v>
      </c>
      <c r="J9" s="15">
        <f t="shared" si="0"/>
        <v>-80660000</v>
      </c>
      <c r="K9" s="15">
        <v>0</v>
      </c>
      <c r="L9" s="15">
        <f t="shared" si="1"/>
        <v>-80660000</v>
      </c>
      <c r="M9" s="15">
        <v>-84005000</v>
      </c>
      <c r="N9" s="15">
        <f t="shared" ref="N9:N14" si="2">+M9</f>
        <v>-84005000</v>
      </c>
      <c r="O9" s="15">
        <v>0</v>
      </c>
      <c r="P9" s="15">
        <f t="shared" ref="P9:P14" si="3">+M9-O9</f>
        <v>-84005000</v>
      </c>
      <c r="Q9" s="16" t="s">
        <v>17</v>
      </c>
      <c r="S9" s="17"/>
    </row>
    <row r="10" spans="1:19" ht="15.75" hidden="1" outlineLevel="1" thickBot="1" x14ac:dyDescent="0.3">
      <c r="B10" s="14">
        <v>50015</v>
      </c>
      <c r="C10" s="14" t="s">
        <v>143</v>
      </c>
      <c r="D10" s="14"/>
      <c r="E10" s="15">
        <v>0</v>
      </c>
      <c r="F10" s="15">
        <v>0</v>
      </c>
      <c r="G10" s="15">
        <v>-20000</v>
      </c>
      <c r="H10" s="15">
        <v>0</v>
      </c>
      <c r="I10" s="15">
        <v>0</v>
      </c>
      <c r="J10" s="15">
        <f t="shared" si="0"/>
        <v>0</v>
      </c>
      <c r="K10" s="15">
        <v>0</v>
      </c>
      <c r="L10" s="15">
        <f t="shared" si="1"/>
        <v>0</v>
      </c>
      <c r="M10" s="15">
        <v>0</v>
      </c>
      <c r="N10" s="15">
        <f t="shared" si="2"/>
        <v>0</v>
      </c>
      <c r="O10" s="15">
        <v>0</v>
      </c>
      <c r="P10" s="15">
        <f t="shared" si="3"/>
        <v>0</v>
      </c>
      <c r="Q10" s="16"/>
      <c r="S10" s="17"/>
    </row>
    <row r="11" spans="1:19" ht="15.75" hidden="1" outlineLevel="1" thickBot="1" x14ac:dyDescent="0.3">
      <c r="A11" s="1" t="s">
        <v>16</v>
      </c>
      <c r="B11" s="14">
        <v>50016</v>
      </c>
      <c r="C11" s="14" t="s">
        <v>144</v>
      </c>
      <c r="D11" s="14"/>
      <c r="E11" s="15">
        <v>-730488.16999999993</v>
      </c>
      <c r="F11" s="15">
        <v>-1022878.34</v>
      </c>
      <c r="G11" s="15">
        <v>-1828623.25</v>
      </c>
      <c r="H11" s="15">
        <v>-500000</v>
      </c>
      <c r="I11" s="15">
        <v>-750000</v>
      </c>
      <c r="J11" s="15">
        <f t="shared" si="0"/>
        <v>-750000</v>
      </c>
      <c r="K11" s="15">
        <v>0</v>
      </c>
      <c r="L11" s="15">
        <f t="shared" si="1"/>
        <v>-750000</v>
      </c>
      <c r="M11" s="15">
        <v>-1000000</v>
      </c>
      <c r="N11" s="15">
        <f t="shared" si="2"/>
        <v>-1000000</v>
      </c>
      <c r="O11" s="15">
        <v>0</v>
      </c>
      <c r="P11" s="15">
        <f t="shared" si="3"/>
        <v>-1000000</v>
      </c>
      <c r="Q11" s="16" t="s">
        <v>18</v>
      </c>
      <c r="R11" s="18" t="s">
        <v>19</v>
      </c>
      <c r="S11" s="17"/>
    </row>
    <row r="12" spans="1:19" ht="15.75" hidden="1" outlineLevel="1" thickBot="1" x14ac:dyDescent="0.3">
      <c r="A12" s="1" t="s">
        <v>16</v>
      </c>
      <c r="B12" s="14">
        <v>50029</v>
      </c>
      <c r="C12" s="14" t="s">
        <v>145</v>
      </c>
      <c r="D12" s="14"/>
      <c r="E12" s="15">
        <v>-578108.69999999995</v>
      </c>
      <c r="F12" s="15">
        <v>-590859.42999999993</v>
      </c>
      <c r="G12" s="15">
        <v>-792850.82</v>
      </c>
      <c r="H12" s="15">
        <v>-45000</v>
      </c>
      <c r="I12" s="15">
        <v>50000</v>
      </c>
      <c r="J12" s="15">
        <f t="shared" si="0"/>
        <v>50000</v>
      </c>
      <c r="K12" s="15">
        <v>0</v>
      </c>
      <c r="L12" s="15">
        <f t="shared" si="1"/>
        <v>50000</v>
      </c>
      <c r="M12" s="15">
        <v>50000</v>
      </c>
      <c r="N12" s="15">
        <f t="shared" si="2"/>
        <v>50000</v>
      </c>
      <c r="O12" s="15">
        <v>0</v>
      </c>
      <c r="P12" s="15">
        <f t="shared" si="3"/>
        <v>50000</v>
      </c>
      <c r="Q12" s="16" t="s">
        <v>20</v>
      </c>
      <c r="S12" s="17"/>
    </row>
    <row r="13" spans="1:19" ht="15.75" hidden="1" outlineLevel="1" thickBot="1" x14ac:dyDescent="0.3">
      <c r="B13" s="14">
        <v>50079</v>
      </c>
      <c r="C13" s="14" t="s">
        <v>146</v>
      </c>
      <c r="D13" s="14"/>
      <c r="E13" s="15">
        <v>-173191.55</v>
      </c>
      <c r="F13" s="15">
        <v>-218954.71000000002</v>
      </c>
      <c r="G13" s="15">
        <v>-15</v>
      </c>
      <c r="H13" s="15">
        <v>0</v>
      </c>
      <c r="I13" s="15">
        <v>0</v>
      </c>
      <c r="J13" s="15">
        <f t="shared" si="0"/>
        <v>0</v>
      </c>
      <c r="K13" s="15">
        <v>0</v>
      </c>
      <c r="L13" s="15">
        <f t="shared" si="1"/>
        <v>0</v>
      </c>
      <c r="M13" s="15">
        <v>0</v>
      </c>
      <c r="N13" s="15">
        <f t="shared" si="2"/>
        <v>0</v>
      </c>
      <c r="O13" s="15">
        <v>0</v>
      </c>
      <c r="P13" s="15">
        <f t="shared" si="3"/>
        <v>0</v>
      </c>
      <c r="Q13" s="16"/>
      <c r="S13" s="17"/>
    </row>
    <row r="14" spans="1:19" ht="15.75" hidden="1" outlineLevel="1" thickBot="1" x14ac:dyDescent="0.3">
      <c r="B14" s="14">
        <v>60052</v>
      </c>
      <c r="C14" s="14" t="s">
        <v>147</v>
      </c>
      <c r="D14" s="14"/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f t="shared" si="0"/>
        <v>0</v>
      </c>
      <c r="K14" s="15">
        <v>0</v>
      </c>
      <c r="L14" s="15">
        <f t="shared" si="1"/>
        <v>0</v>
      </c>
      <c r="M14" s="15">
        <v>0</v>
      </c>
      <c r="N14" s="15">
        <f t="shared" si="2"/>
        <v>0</v>
      </c>
      <c r="O14" s="15">
        <v>0</v>
      </c>
      <c r="P14" s="15">
        <f t="shared" si="3"/>
        <v>0</v>
      </c>
      <c r="Q14" s="16"/>
      <c r="S14" s="17"/>
    </row>
    <row r="15" spans="1:19" ht="15.75" collapsed="1" thickBot="1" x14ac:dyDescent="0.3">
      <c r="B15" s="19" t="s">
        <v>21</v>
      </c>
      <c r="C15" s="20"/>
      <c r="D15" s="20"/>
      <c r="E15" s="21">
        <f t="shared" ref="E15:P15" si="4">SUM(E8:E14)</f>
        <v>-74289535.760000005</v>
      </c>
      <c r="F15" s="21">
        <f t="shared" si="4"/>
        <v>-79758803.710000008</v>
      </c>
      <c r="G15" s="21">
        <f t="shared" si="4"/>
        <v>-81596108.419999987</v>
      </c>
      <c r="H15" s="21">
        <f t="shared" si="4"/>
        <v>-81010839</v>
      </c>
      <c r="I15" s="21">
        <f t="shared" si="4"/>
        <v>-82460000</v>
      </c>
      <c r="J15" s="21">
        <f t="shared" si="4"/>
        <v>-82460000</v>
      </c>
      <c r="K15" s="21">
        <f t="shared" si="4"/>
        <v>0</v>
      </c>
      <c r="L15" s="21">
        <f t="shared" si="4"/>
        <v>-82460000</v>
      </c>
      <c r="M15" s="21">
        <f t="shared" si="4"/>
        <v>-86055000</v>
      </c>
      <c r="N15" s="21">
        <f t="shared" si="4"/>
        <v>-86055000</v>
      </c>
      <c r="O15" s="21">
        <f t="shared" si="4"/>
        <v>0</v>
      </c>
      <c r="P15" s="21">
        <f t="shared" si="4"/>
        <v>-86055000</v>
      </c>
      <c r="Q15" s="16"/>
      <c r="S15" s="17"/>
    </row>
    <row r="16" spans="1:19" hidden="1" outlineLevel="2" x14ac:dyDescent="0.25">
      <c r="B16" s="14">
        <v>10021</v>
      </c>
      <c r="C16" s="14" t="s">
        <v>148</v>
      </c>
      <c r="D16" s="14" t="s">
        <v>22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f t="shared" ref="J16:J43" si="5">+K16+L16</f>
        <v>0</v>
      </c>
      <c r="K16" s="15"/>
      <c r="L16" s="15">
        <f t="shared" ref="L16:L43" si="6">+I16-K16</f>
        <v>0</v>
      </c>
      <c r="M16" s="15">
        <f>+J16*1.02</f>
        <v>0</v>
      </c>
      <c r="N16" s="15">
        <f>+M16</f>
        <v>0</v>
      </c>
      <c r="O16" s="15"/>
      <c r="P16" s="15">
        <f>+M16-O16</f>
        <v>0</v>
      </c>
    </row>
    <row r="17" spans="1:18" hidden="1" outlineLevel="2" x14ac:dyDescent="0.25">
      <c r="A17" s="1" t="s">
        <v>23</v>
      </c>
      <c r="B17" s="14">
        <v>10022</v>
      </c>
      <c r="C17" s="14" t="s">
        <v>149</v>
      </c>
      <c r="D17" s="14" t="s">
        <v>22</v>
      </c>
      <c r="E17" s="15">
        <v>83993</v>
      </c>
      <c r="F17" s="15">
        <v>87356.05</v>
      </c>
      <c r="G17" s="15">
        <v>107995</v>
      </c>
      <c r="H17" s="15">
        <v>9000</v>
      </c>
      <c r="I17" s="15">
        <v>120000</v>
      </c>
      <c r="J17" s="15">
        <f t="shared" si="5"/>
        <v>120000</v>
      </c>
      <c r="K17" s="15">
        <v>0</v>
      </c>
      <c r="L17" s="15">
        <f t="shared" si="6"/>
        <v>120000</v>
      </c>
      <c r="M17" s="15">
        <v>120000</v>
      </c>
      <c r="N17" s="15">
        <f t="shared" ref="N17:N43" si="7">+M17</f>
        <v>120000</v>
      </c>
      <c r="O17" s="15">
        <v>0</v>
      </c>
      <c r="P17" s="15">
        <f t="shared" ref="P17:P63" si="8">+M17-O17</f>
        <v>120000</v>
      </c>
      <c r="Q17" s="1" t="s">
        <v>24</v>
      </c>
    </row>
    <row r="18" spans="1:18" hidden="1" outlineLevel="2" x14ac:dyDescent="0.25">
      <c r="A18" s="1" t="s">
        <v>23</v>
      </c>
      <c r="B18" s="14">
        <v>10024</v>
      </c>
      <c r="C18" s="14" t="s">
        <v>150</v>
      </c>
      <c r="D18" s="14" t="s">
        <v>22</v>
      </c>
      <c r="E18" s="15">
        <v>279811.06</v>
      </c>
      <c r="F18" s="15">
        <v>141892.5</v>
      </c>
      <c r="G18" s="15">
        <v>261996.46</v>
      </c>
      <c r="H18" s="15">
        <v>375000</v>
      </c>
      <c r="I18" s="15">
        <v>250000</v>
      </c>
      <c r="J18" s="15">
        <f t="shared" si="5"/>
        <v>250000</v>
      </c>
      <c r="K18" s="15">
        <v>0</v>
      </c>
      <c r="L18" s="15">
        <f t="shared" si="6"/>
        <v>250000</v>
      </c>
      <c r="M18" s="15">
        <v>250000</v>
      </c>
      <c r="N18" s="15">
        <f t="shared" si="7"/>
        <v>250000</v>
      </c>
      <c r="O18" s="15">
        <v>0</v>
      </c>
      <c r="P18" s="15">
        <f t="shared" si="8"/>
        <v>250000</v>
      </c>
      <c r="Q18" s="1" t="s">
        <v>25</v>
      </c>
    </row>
    <row r="19" spans="1:18" hidden="1" outlineLevel="2" x14ac:dyDescent="0.25">
      <c r="A19" s="1" t="s">
        <v>23</v>
      </c>
      <c r="B19" s="14">
        <v>10026</v>
      </c>
      <c r="C19" s="14" t="s">
        <v>151</v>
      </c>
      <c r="D19" s="14" t="s">
        <v>26</v>
      </c>
      <c r="E19" s="15">
        <v>202266.89</v>
      </c>
      <c r="F19" s="15">
        <v>109068.23</v>
      </c>
      <c r="G19" s="15">
        <v>113928.7</v>
      </c>
      <c r="H19" s="15">
        <v>0</v>
      </c>
      <c r="I19" s="15">
        <v>130000</v>
      </c>
      <c r="J19" s="15">
        <f t="shared" si="5"/>
        <v>130000</v>
      </c>
      <c r="K19" s="15">
        <v>72000</v>
      </c>
      <c r="L19" s="15">
        <f t="shared" si="6"/>
        <v>58000</v>
      </c>
      <c r="M19" s="15">
        <v>130000</v>
      </c>
      <c r="N19" s="15">
        <f t="shared" si="7"/>
        <v>130000</v>
      </c>
      <c r="O19" s="15">
        <v>0</v>
      </c>
      <c r="P19" s="15">
        <f t="shared" si="8"/>
        <v>130000</v>
      </c>
      <c r="Q19" s="1" t="s">
        <v>27</v>
      </c>
    </row>
    <row r="20" spans="1:18" hidden="1" outlineLevel="2" x14ac:dyDescent="0.25">
      <c r="B20" s="14">
        <v>10028</v>
      </c>
      <c r="C20" s="14" t="s">
        <v>152</v>
      </c>
      <c r="D20" s="14"/>
      <c r="E20" s="15"/>
      <c r="F20" s="15"/>
      <c r="G20" s="15"/>
      <c r="H20" s="15"/>
      <c r="I20" s="15"/>
      <c r="J20" s="15">
        <v>800000</v>
      </c>
      <c r="K20" s="15"/>
      <c r="L20" s="15">
        <f>+J20</f>
        <v>800000</v>
      </c>
      <c r="M20" s="15"/>
      <c r="N20" s="15">
        <v>800000</v>
      </c>
      <c r="O20" s="15"/>
      <c r="P20" s="15">
        <f>+N20</f>
        <v>800000</v>
      </c>
    </row>
    <row r="21" spans="1:18" hidden="1" outlineLevel="2" x14ac:dyDescent="0.25">
      <c r="B21" s="14">
        <v>10036</v>
      </c>
      <c r="C21" s="14" t="s">
        <v>153</v>
      </c>
      <c r="D21" s="14" t="s">
        <v>22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f t="shared" si="5"/>
        <v>0</v>
      </c>
      <c r="K21" s="15"/>
      <c r="L21" s="15">
        <f t="shared" si="6"/>
        <v>0</v>
      </c>
      <c r="M21" s="15">
        <v>0</v>
      </c>
      <c r="N21" s="15">
        <f t="shared" si="7"/>
        <v>0</v>
      </c>
      <c r="O21" s="15"/>
      <c r="P21" s="15">
        <f t="shared" si="8"/>
        <v>0</v>
      </c>
    </row>
    <row r="22" spans="1:18" hidden="1" outlineLevel="2" x14ac:dyDescent="0.25">
      <c r="B22" s="14">
        <v>10043</v>
      </c>
      <c r="C22" s="14" t="s">
        <v>154</v>
      </c>
      <c r="D22" s="14" t="s">
        <v>22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f t="shared" si="5"/>
        <v>0</v>
      </c>
      <c r="K22" s="15"/>
      <c r="L22" s="15">
        <f t="shared" si="6"/>
        <v>0</v>
      </c>
      <c r="M22" s="15">
        <v>0</v>
      </c>
      <c r="N22" s="15">
        <f t="shared" si="7"/>
        <v>0</v>
      </c>
      <c r="O22" s="15"/>
      <c r="P22" s="15">
        <f t="shared" si="8"/>
        <v>0</v>
      </c>
    </row>
    <row r="23" spans="1:18" hidden="1" outlineLevel="2" x14ac:dyDescent="0.25">
      <c r="A23" s="1" t="s">
        <v>23</v>
      </c>
      <c r="B23" s="14">
        <v>10047</v>
      </c>
      <c r="C23" s="14" t="s">
        <v>155</v>
      </c>
      <c r="D23" s="14" t="s">
        <v>28</v>
      </c>
      <c r="E23" s="15">
        <v>265000</v>
      </c>
      <c r="F23" s="15">
        <v>365000</v>
      </c>
      <c r="G23" s="15">
        <v>580000</v>
      </c>
      <c r="H23" s="15">
        <v>705000</v>
      </c>
      <c r="I23" s="15">
        <v>403000</v>
      </c>
      <c r="J23" s="15">
        <f t="shared" si="5"/>
        <v>403000</v>
      </c>
      <c r="K23" s="15">
        <v>0</v>
      </c>
      <c r="L23" s="15">
        <f t="shared" si="6"/>
        <v>403000</v>
      </c>
      <c r="M23" s="15">
        <v>420000</v>
      </c>
      <c r="N23" s="15">
        <f t="shared" si="7"/>
        <v>420000</v>
      </c>
      <c r="O23" s="15">
        <v>0</v>
      </c>
      <c r="P23" s="15">
        <f t="shared" si="8"/>
        <v>420000</v>
      </c>
      <c r="Q23" s="1" t="s">
        <v>29</v>
      </c>
    </row>
    <row r="24" spans="1:18" hidden="1" outlineLevel="2" x14ac:dyDescent="0.25">
      <c r="A24" s="1" t="s">
        <v>30</v>
      </c>
      <c r="B24" s="14">
        <v>10048</v>
      </c>
      <c r="C24" s="14" t="s">
        <v>156</v>
      </c>
      <c r="D24" s="14" t="s">
        <v>22</v>
      </c>
      <c r="E24" s="15">
        <v>80000</v>
      </c>
      <c r="F24" s="15">
        <v>0</v>
      </c>
      <c r="G24" s="15">
        <v>127875</v>
      </c>
      <c r="H24" s="15">
        <v>200000</v>
      </c>
      <c r="I24" s="15">
        <v>100000</v>
      </c>
      <c r="J24" s="15">
        <f t="shared" si="5"/>
        <v>100000</v>
      </c>
      <c r="K24" s="15">
        <v>0</v>
      </c>
      <c r="L24" s="15">
        <f t="shared" si="6"/>
        <v>100000</v>
      </c>
      <c r="M24" s="15">
        <v>100000</v>
      </c>
      <c r="N24" s="15">
        <f t="shared" si="7"/>
        <v>100000</v>
      </c>
      <c r="O24" s="15">
        <v>0</v>
      </c>
      <c r="P24" s="15">
        <f t="shared" si="8"/>
        <v>100000</v>
      </c>
      <c r="Q24" s="1" t="s">
        <v>31</v>
      </c>
    </row>
    <row r="25" spans="1:18" hidden="1" outlineLevel="2" x14ac:dyDescent="0.25">
      <c r="A25" s="1" t="s">
        <v>23</v>
      </c>
      <c r="B25" s="14">
        <v>10054</v>
      </c>
      <c r="C25" s="14" t="s">
        <v>157</v>
      </c>
      <c r="D25" s="14" t="s">
        <v>22</v>
      </c>
      <c r="E25" s="15">
        <v>159003</v>
      </c>
      <c r="F25" s="15">
        <v>26563</v>
      </c>
      <c r="G25" s="15">
        <v>143188</v>
      </c>
      <c r="H25" s="15">
        <v>0</v>
      </c>
      <c r="I25" s="15">
        <v>150000</v>
      </c>
      <c r="J25" s="15">
        <f t="shared" si="5"/>
        <v>150000</v>
      </c>
      <c r="K25" s="15">
        <v>0</v>
      </c>
      <c r="L25" s="15">
        <f t="shared" si="6"/>
        <v>150000</v>
      </c>
      <c r="M25" s="15">
        <v>150000</v>
      </c>
      <c r="N25" s="15">
        <f t="shared" si="7"/>
        <v>150000</v>
      </c>
      <c r="O25" s="15">
        <v>0</v>
      </c>
      <c r="P25" s="15">
        <f t="shared" si="8"/>
        <v>150000</v>
      </c>
      <c r="Q25" s="1" t="s">
        <v>32</v>
      </c>
      <c r="R25" s="18"/>
    </row>
    <row r="26" spans="1:18" hidden="1" outlineLevel="2" x14ac:dyDescent="0.25">
      <c r="A26" s="1" t="s">
        <v>30</v>
      </c>
      <c r="B26" s="14">
        <v>10056</v>
      </c>
      <c r="C26" s="14" t="s">
        <v>158</v>
      </c>
      <c r="D26" s="14" t="s">
        <v>22</v>
      </c>
      <c r="E26" s="15">
        <v>15000</v>
      </c>
      <c r="F26" s="15">
        <v>1196250</v>
      </c>
      <c r="G26" s="15">
        <v>0</v>
      </c>
      <c r="H26" s="15">
        <v>100000</v>
      </c>
      <c r="I26" s="15">
        <v>100000</v>
      </c>
      <c r="J26" s="15">
        <f t="shared" si="5"/>
        <v>100000</v>
      </c>
      <c r="K26" s="15">
        <v>0</v>
      </c>
      <c r="L26" s="15">
        <f t="shared" si="6"/>
        <v>100000</v>
      </c>
      <c r="M26" s="15">
        <v>100000</v>
      </c>
      <c r="N26" s="15">
        <f t="shared" si="7"/>
        <v>100000</v>
      </c>
      <c r="O26" s="15">
        <v>0</v>
      </c>
      <c r="P26" s="15">
        <f t="shared" si="8"/>
        <v>100000</v>
      </c>
      <c r="Q26" s="1" t="s">
        <v>33</v>
      </c>
    </row>
    <row r="27" spans="1:18" hidden="1" outlineLevel="2" x14ac:dyDescent="0.25">
      <c r="B27" s="14">
        <v>10061</v>
      </c>
      <c r="C27" s="14" t="s">
        <v>159</v>
      </c>
      <c r="D27" s="14" t="s">
        <v>22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f t="shared" si="5"/>
        <v>0</v>
      </c>
      <c r="K27" s="15"/>
      <c r="L27" s="15">
        <f t="shared" si="6"/>
        <v>0</v>
      </c>
      <c r="M27" s="15">
        <v>0</v>
      </c>
      <c r="N27" s="15">
        <f t="shared" si="7"/>
        <v>0</v>
      </c>
      <c r="O27" s="15"/>
      <c r="P27" s="15">
        <f t="shared" si="8"/>
        <v>0</v>
      </c>
    </row>
    <row r="28" spans="1:18" hidden="1" outlineLevel="2" x14ac:dyDescent="0.25">
      <c r="B28" s="14">
        <v>10067</v>
      </c>
      <c r="C28" s="14" t="s">
        <v>160</v>
      </c>
      <c r="D28" s="14" t="s">
        <v>22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f t="shared" si="5"/>
        <v>0</v>
      </c>
      <c r="K28" s="15"/>
      <c r="L28" s="15">
        <f t="shared" si="6"/>
        <v>0</v>
      </c>
      <c r="M28" s="15">
        <v>0</v>
      </c>
      <c r="N28" s="15">
        <f t="shared" si="7"/>
        <v>0</v>
      </c>
      <c r="O28" s="15"/>
      <c r="P28" s="15">
        <f t="shared" si="8"/>
        <v>0</v>
      </c>
    </row>
    <row r="29" spans="1:18" hidden="1" outlineLevel="2" x14ac:dyDescent="0.25">
      <c r="A29" s="1" t="s">
        <v>30</v>
      </c>
      <c r="B29" s="14">
        <v>10069</v>
      </c>
      <c r="C29" s="14" t="s">
        <v>161</v>
      </c>
      <c r="D29" s="14" t="s">
        <v>22</v>
      </c>
      <c r="E29" s="15">
        <v>0</v>
      </c>
      <c r="F29" s="15">
        <v>0</v>
      </c>
      <c r="G29" s="15">
        <v>44530.16</v>
      </c>
      <c r="H29" s="15">
        <v>750000</v>
      </c>
      <c r="I29" s="15">
        <v>280000</v>
      </c>
      <c r="J29" s="15">
        <f t="shared" si="5"/>
        <v>280000</v>
      </c>
      <c r="K29" s="15">
        <v>0</v>
      </c>
      <c r="L29" s="15">
        <f t="shared" si="6"/>
        <v>280000</v>
      </c>
      <c r="M29" s="15">
        <v>280000</v>
      </c>
      <c r="N29" s="15">
        <f t="shared" si="7"/>
        <v>280000</v>
      </c>
      <c r="O29" s="15">
        <v>0</v>
      </c>
      <c r="P29" s="15">
        <f t="shared" si="8"/>
        <v>280000</v>
      </c>
      <c r="Q29" s="1" t="s">
        <v>34</v>
      </c>
      <c r="R29" s="18" t="s">
        <v>35</v>
      </c>
    </row>
    <row r="30" spans="1:18" hidden="1" outlineLevel="2" x14ac:dyDescent="0.25">
      <c r="A30" s="1" t="s">
        <v>36</v>
      </c>
      <c r="B30" s="14">
        <v>10070</v>
      </c>
      <c r="C30" s="14" t="s">
        <v>162</v>
      </c>
      <c r="D30" s="14" t="s">
        <v>28</v>
      </c>
      <c r="E30" s="15">
        <v>485210.08999999997</v>
      </c>
      <c r="F30" s="15">
        <v>458918.47000000003</v>
      </c>
      <c r="G30" s="15">
        <v>678744.82</v>
      </c>
      <c r="H30" s="15">
        <v>700000</v>
      </c>
      <c r="I30" s="15">
        <v>550000</v>
      </c>
      <c r="J30" s="15">
        <f t="shared" si="5"/>
        <v>550000</v>
      </c>
      <c r="K30" s="15">
        <v>0</v>
      </c>
      <c r="L30" s="15">
        <f t="shared" si="6"/>
        <v>550000</v>
      </c>
      <c r="M30" s="15">
        <v>700000</v>
      </c>
      <c r="N30" s="15">
        <f t="shared" si="7"/>
        <v>700000</v>
      </c>
      <c r="O30" s="15">
        <v>0</v>
      </c>
      <c r="P30" s="15">
        <f>+M30-O30</f>
        <v>700000</v>
      </c>
      <c r="Q30" s="1" t="s">
        <v>37</v>
      </c>
      <c r="R30" s="18"/>
    </row>
    <row r="31" spans="1:18" hidden="1" outlineLevel="2" x14ac:dyDescent="0.25">
      <c r="A31" s="1" t="s">
        <v>38</v>
      </c>
      <c r="B31" s="14">
        <v>10073</v>
      </c>
      <c r="C31" s="14" t="s">
        <v>163</v>
      </c>
      <c r="D31" s="14" t="s">
        <v>26</v>
      </c>
      <c r="E31" s="15">
        <v>1988716.23</v>
      </c>
      <c r="F31" s="15">
        <v>2466023.7999999998</v>
      </c>
      <c r="G31" s="15">
        <v>3823024.9400000004</v>
      </c>
      <c r="H31" s="15">
        <v>3187000</v>
      </c>
      <c r="I31" s="15">
        <v>3770000</v>
      </c>
      <c r="J31" s="15">
        <f t="shared" si="5"/>
        <v>3770000</v>
      </c>
      <c r="K31" s="15">
        <f>2940000+160000</f>
        <v>3100000</v>
      </c>
      <c r="L31" s="15">
        <f t="shared" si="6"/>
        <v>670000</v>
      </c>
      <c r="M31" s="15">
        <v>3840000</v>
      </c>
      <c r="N31" s="15">
        <f t="shared" si="7"/>
        <v>3840000</v>
      </c>
      <c r="O31" s="15">
        <f>3120000+170000</f>
        <v>3290000</v>
      </c>
      <c r="P31" s="15">
        <f t="shared" si="8"/>
        <v>550000</v>
      </c>
      <c r="Q31" s="1" t="s">
        <v>39</v>
      </c>
    </row>
    <row r="32" spans="1:18" hidden="1" outlineLevel="2" x14ac:dyDescent="0.25">
      <c r="B32" s="14">
        <v>10074</v>
      </c>
      <c r="C32" s="14" t="s">
        <v>164</v>
      </c>
      <c r="D32" s="14" t="s">
        <v>22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f t="shared" si="5"/>
        <v>0</v>
      </c>
      <c r="K32" s="15"/>
      <c r="L32" s="15">
        <f t="shared" si="6"/>
        <v>0</v>
      </c>
      <c r="M32" s="15">
        <v>0</v>
      </c>
      <c r="N32" s="15">
        <f t="shared" si="7"/>
        <v>0</v>
      </c>
      <c r="O32" s="15"/>
      <c r="P32" s="15">
        <f t="shared" si="8"/>
        <v>0</v>
      </c>
    </row>
    <row r="33" spans="1:18" hidden="1" outlineLevel="2" x14ac:dyDescent="0.25">
      <c r="A33" s="1" t="s">
        <v>36</v>
      </c>
      <c r="B33" s="14">
        <v>10075</v>
      </c>
      <c r="C33" s="14" t="s">
        <v>165</v>
      </c>
      <c r="D33" s="14" t="s">
        <v>22</v>
      </c>
      <c r="E33" s="15">
        <v>290899.44999999995</v>
      </c>
      <c r="F33" s="15">
        <v>283306.0199999999</v>
      </c>
      <c r="G33" s="15">
        <v>363741.68000000005</v>
      </c>
      <c r="H33" s="15">
        <v>440000</v>
      </c>
      <c r="I33" s="15">
        <v>400000</v>
      </c>
      <c r="J33" s="15">
        <f t="shared" si="5"/>
        <v>400000</v>
      </c>
      <c r="K33" s="15"/>
      <c r="L33" s="15">
        <f t="shared" si="6"/>
        <v>400000</v>
      </c>
      <c r="M33" s="15">
        <v>500000</v>
      </c>
      <c r="N33" s="15">
        <f t="shared" si="7"/>
        <v>500000</v>
      </c>
      <c r="O33" s="15"/>
      <c r="P33" s="15">
        <f t="shared" si="8"/>
        <v>500000</v>
      </c>
      <c r="Q33" s="1" t="s">
        <v>40</v>
      </c>
    </row>
    <row r="34" spans="1:18" hidden="1" outlineLevel="2" x14ac:dyDescent="0.25">
      <c r="A34" s="1" t="s">
        <v>36</v>
      </c>
      <c r="B34" s="14">
        <v>10076</v>
      </c>
      <c r="C34" s="14" t="s">
        <v>166</v>
      </c>
      <c r="D34" s="14" t="s">
        <v>22</v>
      </c>
      <c r="E34" s="15">
        <v>187979.59999999998</v>
      </c>
      <c r="F34" s="15">
        <v>127407.6</v>
      </c>
      <c r="G34" s="15">
        <v>108678.39999999999</v>
      </c>
      <c r="H34" s="15">
        <v>100000</v>
      </c>
      <c r="I34" s="15">
        <v>150000</v>
      </c>
      <c r="J34" s="15">
        <f t="shared" si="5"/>
        <v>150000</v>
      </c>
      <c r="K34" s="15"/>
      <c r="L34" s="15">
        <f t="shared" si="6"/>
        <v>150000</v>
      </c>
      <c r="M34" s="15">
        <v>150000</v>
      </c>
      <c r="N34" s="15">
        <f t="shared" si="7"/>
        <v>150000</v>
      </c>
      <c r="O34" s="15"/>
      <c r="P34" s="15">
        <f t="shared" si="8"/>
        <v>150000</v>
      </c>
      <c r="Q34" s="1" t="s">
        <v>41</v>
      </c>
    </row>
    <row r="35" spans="1:18" hidden="1" outlineLevel="2" x14ac:dyDescent="0.25">
      <c r="A35" s="1" t="s">
        <v>36</v>
      </c>
      <c r="B35" s="14">
        <v>10077</v>
      </c>
      <c r="C35" s="14" t="s">
        <v>167</v>
      </c>
      <c r="D35" s="14" t="s">
        <v>22</v>
      </c>
      <c r="E35" s="15">
        <v>127035</v>
      </c>
      <c r="F35" s="15">
        <v>2145367.4299999997</v>
      </c>
      <c r="G35" s="15">
        <v>32908.93</v>
      </c>
      <c r="H35" s="15">
        <v>1600000</v>
      </c>
      <c r="I35" s="15">
        <v>850000</v>
      </c>
      <c r="J35" s="15">
        <f t="shared" si="5"/>
        <v>850000</v>
      </c>
      <c r="K35" s="15"/>
      <c r="L35" s="15">
        <f t="shared" si="6"/>
        <v>850000</v>
      </c>
      <c r="M35" s="15">
        <v>2100000</v>
      </c>
      <c r="N35" s="15">
        <f t="shared" si="7"/>
        <v>2100000</v>
      </c>
      <c r="O35" s="15"/>
      <c r="P35" s="15">
        <f t="shared" si="8"/>
        <v>2100000</v>
      </c>
      <c r="Q35" s="1" t="s">
        <v>42</v>
      </c>
    </row>
    <row r="36" spans="1:18" hidden="1" outlineLevel="2" x14ac:dyDescent="0.25">
      <c r="A36" s="1" t="s">
        <v>36</v>
      </c>
      <c r="B36" s="14">
        <v>10078</v>
      </c>
      <c r="C36" s="14" t="s">
        <v>168</v>
      </c>
      <c r="D36" s="14" t="s">
        <v>28</v>
      </c>
      <c r="E36" s="15">
        <v>12000</v>
      </c>
      <c r="F36" s="15">
        <v>13000</v>
      </c>
      <c r="G36" s="15">
        <v>13000</v>
      </c>
      <c r="H36" s="15">
        <v>13000</v>
      </c>
      <c r="I36" s="15">
        <v>13000</v>
      </c>
      <c r="J36" s="15">
        <f t="shared" si="5"/>
        <v>13000</v>
      </c>
      <c r="K36" s="15"/>
      <c r="L36" s="15">
        <f t="shared" si="6"/>
        <v>13000</v>
      </c>
      <c r="M36" s="15">
        <v>14000</v>
      </c>
      <c r="N36" s="15">
        <f t="shared" si="7"/>
        <v>14000</v>
      </c>
      <c r="O36" s="15"/>
      <c r="P36" s="15">
        <f t="shared" si="8"/>
        <v>14000</v>
      </c>
      <c r="Q36" s="1" t="s">
        <v>43</v>
      </c>
    </row>
    <row r="37" spans="1:18" hidden="1" outlineLevel="2" x14ac:dyDescent="0.25">
      <c r="A37" s="1" t="s">
        <v>36</v>
      </c>
      <c r="B37" s="14">
        <v>10079</v>
      </c>
      <c r="C37" s="14" t="s">
        <v>148</v>
      </c>
      <c r="D37" s="14" t="s">
        <v>22</v>
      </c>
      <c r="E37" s="15">
        <v>356354.75</v>
      </c>
      <c r="F37" s="15">
        <v>323702.68</v>
      </c>
      <c r="G37" s="15">
        <v>329388.16000000003</v>
      </c>
      <c r="H37" s="15">
        <v>4000</v>
      </c>
      <c r="I37" s="15">
        <v>350000</v>
      </c>
      <c r="J37" s="15">
        <f t="shared" si="5"/>
        <v>350000</v>
      </c>
      <c r="K37" s="15"/>
      <c r="L37" s="15">
        <f t="shared" si="6"/>
        <v>350000</v>
      </c>
      <c r="M37" s="15">
        <v>350000</v>
      </c>
      <c r="N37" s="15">
        <f t="shared" si="7"/>
        <v>350000</v>
      </c>
      <c r="O37" s="15"/>
      <c r="P37" s="15">
        <f t="shared" si="8"/>
        <v>350000</v>
      </c>
      <c r="Q37" s="1" t="s">
        <v>44</v>
      </c>
    </row>
    <row r="38" spans="1:18" hidden="1" outlineLevel="2" x14ac:dyDescent="0.25">
      <c r="B38" s="22">
        <v>10080</v>
      </c>
      <c r="C38" s="22" t="s">
        <v>169</v>
      </c>
      <c r="D38" s="22" t="s">
        <v>22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f t="shared" si="5"/>
        <v>0</v>
      </c>
      <c r="K38" s="15"/>
      <c r="L38" s="15">
        <f t="shared" si="6"/>
        <v>0</v>
      </c>
      <c r="M38" s="15">
        <v>0</v>
      </c>
      <c r="N38" s="15">
        <f t="shared" si="7"/>
        <v>0</v>
      </c>
      <c r="O38" s="23"/>
      <c r="P38" s="23">
        <f t="shared" si="8"/>
        <v>0</v>
      </c>
    </row>
    <row r="39" spans="1:18" hidden="1" outlineLevel="2" x14ac:dyDescent="0.25">
      <c r="A39" s="1" t="s">
        <v>30</v>
      </c>
      <c r="B39" s="14">
        <v>10081</v>
      </c>
      <c r="C39" s="14" t="s">
        <v>170</v>
      </c>
      <c r="D39" s="14" t="s">
        <v>22</v>
      </c>
      <c r="E39" s="15">
        <v>37978</v>
      </c>
      <c r="F39" s="15">
        <v>27436.440000000002</v>
      </c>
      <c r="G39" s="15">
        <v>79603.3</v>
      </c>
      <c r="H39" s="15">
        <v>0</v>
      </c>
      <c r="I39" s="15">
        <v>150000</v>
      </c>
      <c r="J39" s="15">
        <f t="shared" si="5"/>
        <v>150000</v>
      </c>
      <c r="K39" s="15"/>
      <c r="L39" s="15">
        <f t="shared" si="6"/>
        <v>150000</v>
      </c>
      <c r="M39" s="15">
        <v>150000</v>
      </c>
      <c r="N39" s="15">
        <f t="shared" si="7"/>
        <v>150000</v>
      </c>
      <c r="O39" s="15"/>
      <c r="P39" s="15">
        <f t="shared" si="8"/>
        <v>150000</v>
      </c>
      <c r="Q39" s="1" t="s">
        <v>45</v>
      </c>
    </row>
    <row r="40" spans="1:18" hidden="1" outlineLevel="2" x14ac:dyDescent="0.25">
      <c r="A40" s="1" t="s">
        <v>30</v>
      </c>
      <c r="B40" s="14">
        <v>10082</v>
      </c>
      <c r="C40" s="14" t="s">
        <v>171</v>
      </c>
      <c r="D40" s="14" t="s">
        <v>22</v>
      </c>
      <c r="E40" s="15">
        <v>0</v>
      </c>
      <c r="F40" s="15">
        <v>76790.52</v>
      </c>
      <c r="G40" s="15">
        <v>45341.900000000009</v>
      </c>
      <c r="H40" s="15">
        <v>4500</v>
      </c>
      <c r="I40" s="15">
        <v>300000</v>
      </c>
      <c r="J40" s="15">
        <f t="shared" si="5"/>
        <v>300000</v>
      </c>
      <c r="K40" s="15"/>
      <c r="L40" s="15">
        <f t="shared" si="6"/>
        <v>300000</v>
      </c>
      <c r="M40" s="15">
        <v>300000</v>
      </c>
      <c r="N40" s="15">
        <f t="shared" si="7"/>
        <v>300000</v>
      </c>
      <c r="O40" s="15"/>
      <c r="P40" s="15">
        <f t="shared" si="8"/>
        <v>300000</v>
      </c>
      <c r="Q40" s="1" t="s">
        <v>46</v>
      </c>
      <c r="R40" s="18"/>
    </row>
    <row r="41" spans="1:18" hidden="1" outlineLevel="2" x14ac:dyDescent="0.25">
      <c r="A41" s="1" t="s">
        <v>47</v>
      </c>
      <c r="B41" s="14">
        <v>10083</v>
      </c>
      <c r="C41" s="14" t="s">
        <v>172</v>
      </c>
      <c r="D41" s="14" t="s">
        <v>22</v>
      </c>
      <c r="E41" s="15">
        <v>0</v>
      </c>
      <c r="F41" s="15">
        <v>0</v>
      </c>
      <c r="G41" s="15">
        <v>433248.18</v>
      </c>
      <c r="H41" s="15">
        <v>500000</v>
      </c>
      <c r="I41" s="15">
        <v>1940000</v>
      </c>
      <c r="J41" s="15">
        <f t="shared" si="5"/>
        <v>1940000</v>
      </c>
      <c r="K41" s="15"/>
      <c r="L41" s="15">
        <f t="shared" si="6"/>
        <v>1940000</v>
      </c>
      <c r="M41" s="15">
        <v>1940000</v>
      </c>
      <c r="N41" s="15">
        <f t="shared" si="7"/>
        <v>1940000</v>
      </c>
      <c r="O41" s="15"/>
      <c r="P41" s="15">
        <f t="shared" si="8"/>
        <v>1940000</v>
      </c>
      <c r="Q41" s="1" t="s">
        <v>48</v>
      </c>
    </row>
    <row r="42" spans="1:18" hidden="1" outlineLevel="2" x14ac:dyDescent="0.25">
      <c r="A42" s="1" t="s">
        <v>49</v>
      </c>
      <c r="B42" s="14">
        <v>50072</v>
      </c>
      <c r="C42" s="14" t="s">
        <v>173</v>
      </c>
      <c r="D42" s="14" t="s">
        <v>28</v>
      </c>
      <c r="E42" s="15">
        <v>103021.73</v>
      </c>
      <c r="F42" s="15">
        <v>55352.86</v>
      </c>
      <c r="G42" s="15">
        <v>80905.69</v>
      </c>
      <c r="H42" s="15">
        <v>150000</v>
      </c>
      <c r="I42" s="15">
        <v>200000</v>
      </c>
      <c r="J42" s="15">
        <f t="shared" si="5"/>
        <v>200000</v>
      </c>
      <c r="K42" s="15"/>
      <c r="L42" s="15">
        <f t="shared" si="6"/>
        <v>200000</v>
      </c>
      <c r="M42" s="15">
        <v>200000</v>
      </c>
      <c r="N42" s="15">
        <f t="shared" si="7"/>
        <v>200000</v>
      </c>
      <c r="O42" s="15"/>
      <c r="P42" s="15">
        <f>+M42-O42</f>
        <v>200000</v>
      </c>
      <c r="Q42" s="16" t="s">
        <v>50</v>
      </c>
    </row>
    <row r="43" spans="1:18" hidden="1" outlineLevel="2" x14ac:dyDescent="0.25">
      <c r="A43" s="1" t="s">
        <v>49</v>
      </c>
      <c r="B43" s="14">
        <v>60036</v>
      </c>
      <c r="C43" s="14" t="s">
        <v>174</v>
      </c>
      <c r="D43" s="14" t="s">
        <v>28</v>
      </c>
      <c r="E43" s="15">
        <v>179770.67999999993</v>
      </c>
      <c r="F43" s="15">
        <v>241250.00000000003</v>
      </c>
      <c r="G43" s="15">
        <v>144625.00000000003</v>
      </c>
      <c r="H43" s="15">
        <v>320000</v>
      </c>
      <c r="I43" s="15">
        <v>350000</v>
      </c>
      <c r="J43" s="15">
        <f t="shared" si="5"/>
        <v>350000</v>
      </c>
      <c r="K43" s="15">
        <v>55000</v>
      </c>
      <c r="L43" s="15">
        <f t="shared" si="6"/>
        <v>295000</v>
      </c>
      <c r="M43" s="15">
        <v>350000</v>
      </c>
      <c r="N43" s="15">
        <f t="shared" si="7"/>
        <v>350000</v>
      </c>
      <c r="O43" s="15"/>
      <c r="P43" s="15">
        <f>+M43-O43</f>
        <v>350000</v>
      </c>
      <c r="Q43" s="16" t="s">
        <v>51</v>
      </c>
    </row>
    <row r="44" spans="1:18" hidden="1" outlineLevel="1" x14ac:dyDescent="0.25">
      <c r="B44" s="24"/>
      <c r="C44" s="24" t="s">
        <v>52</v>
      </c>
      <c r="D44" s="24"/>
      <c r="E44" s="25">
        <f t="shared" ref="E44:P44" si="9">SUM(E16:E43)</f>
        <v>4854039.4800000004</v>
      </c>
      <c r="F44" s="25">
        <f t="shared" si="9"/>
        <v>8144685.5999999987</v>
      </c>
      <c r="G44" s="25">
        <f t="shared" si="9"/>
        <v>7512724.3200000003</v>
      </c>
      <c r="H44" s="25">
        <f t="shared" si="9"/>
        <v>9157500</v>
      </c>
      <c r="I44" s="25">
        <f t="shared" si="9"/>
        <v>10556000</v>
      </c>
      <c r="J44" s="25">
        <f>SUM(J16:J43)</f>
        <v>11356000</v>
      </c>
      <c r="K44" s="25">
        <f>SUM(K16:K43)</f>
        <v>3227000</v>
      </c>
      <c r="L44" s="25">
        <f>SUM(L16:L43)</f>
        <v>8129000</v>
      </c>
      <c r="M44" s="25">
        <f t="shared" si="9"/>
        <v>12144000</v>
      </c>
      <c r="N44" s="25">
        <f t="shared" si="9"/>
        <v>12944000</v>
      </c>
      <c r="O44" s="25">
        <f t="shared" si="9"/>
        <v>3290000</v>
      </c>
      <c r="P44" s="25">
        <f t="shared" si="9"/>
        <v>9654000</v>
      </c>
    </row>
    <row r="45" spans="1:18" hidden="1" outlineLevel="1" x14ac:dyDescent="0.25">
      <c r="A45" s="1" t="s">
        <v>16</v>
      </c>
      <c r="B45" s="14">
        <v>50013</v>
      </c>
      <c r="C45" s="14" t="s">
        <v>175</v>
      </c>
      <c r="D45" s="14" t="s">
        <v>53</v>
      </c>
      <c r="E45" s="15">
        <v>2946722</v>
      </c>
      <c r="F45" s="15">
        <v>2892784</v>
      </c>
      <c r="G45" s="15">
        <v>2914606</v>
      </c>
      <c r="H45" s="15">
        <v>2960000</v>
      </c>
      <c r="I45" s="15">
        <v>3039000</v>
      </c>
      <c r="J45" s="15">
        <f t="shared" ref="J45:J63" si="10">+K45+L45</f>
        <v>3039000</v>
      </c>
      <c r="K45" s="15">
        <f>+I45</f>
        <v>3039000</v>
      </c>
      <c r="L45" s="15">
        <f t="shared" ref="L45:L63" si="11">+I45-K45</f>
        <v>0</v>
      </c>
      <c r="M45" s="15">
        <v>3162000</v>
      </c>
      <c r="N45" s="15">
        <f>+M45</f>
        <v>3162000</v>
      </c>
      <c r="O45" s="15">
        <f>+M45</f>
        <v>3162000</v>
      </c>
      <c r="P45" s="15">
        <f t="shared" si="8"/>
        <v>0</v>
      </c>
      <c r="Q45" s="16" t="s">
        <v>54</v>
      </c>
    </row>
    <row r="46" spans="1:18" hidden="1" outlineLevel="1" x14ac:dyDescent="0.25">
      <c r="A46" s="1" t="s">
        <v>38</v>
      </c>
      <c r="B46" s="14">
        <v>50040</v>
      </c>
      <c r="C46" s="14" t="s">
        <v>67</v>
      </c>
      <c r="D46" s="14" t="s">
        <v>22</v>
      </c>
      <c r="E46" s="15">
        <v>674431.48999999987</v>
      </c>
      <c r="F46" s="15">
        <v>590726.40000000002</v>
      </c>
      <c r="G46" s="15">
        <v>662610.05000000005</v>
      </c>
      <c r="H46" s="15">
        <v>300000</v>
      </c>
      <c r="I46" s="15">
        <v>700000</v>
      </c>
      <c r="J46" s="15">
        <f t="shared" si="10"/>
        <v>700000</v>
      </c>
      <c r="K46" s="15"/>
      <c r="L46" s="15">
        <f t="shared" si="11"/>
        <v>700000</v>
      </c>
      <c r="M46" s="15">
        <v>700000</v>
      </c>
      <c r="N46" s="15">
        <f t="shared" ref="N46:N63" si="12">+M46</f>
        <v>700000</v>
      </c>
      <c r="O46" s="15"/>
      <c r="P46" s="15">
        <f t="shared" si="8"/>
        <v>700000</v>
      </c>
      <c r="Q46" s="16" t="s">
        <v>55</v>
      </c>
    </row>
    <row r="47" spans="1:18" hidden="1" outlineLevel="1" x14ac:dyDescent="0.25">
      <c r="A47" s="1" t="s">
        <v>38</v>
      </c>
      <c r="B47" s="14">
        <v>50041</v>
      </c>
      <c r="C47" s="14" t="s">
        <v>176</v>
      </c>
      <c r="D47" s="14" t="s">
        <v>22</v>
      </c>
      <c r="E47" s="15">
        <v>418.24</v>
      </c>
      <c r="F47" s="15">
        <v>546382.54</v>
      </c>
      <c r="G47" s="15">
        <v>147054.73000000001</v>
      </c>
      <c r="H47" s="15">
        <v>600000</v>
      </c>
      <c r="I47" s="15">
        <v>50000</v>
      </c>
      <c r="J47" s="15">
        <f t="shared" si="10"/>
        <v>50000</v>
      </c>
      <c r="K47" s="15"/>
      <c r="L47" s="15">
        <f t="shared" si="11"/>
        <v>50000</v>
      </c>
      <c r="M47" s="15">
        <v>600000</v>
      </c>
      <c r="N47" s="15">
        <f t="shared" si="12"/>
        <v>600000</v>
      </c>
      <c r="O47" s="15"/>
      <c r="P47" s="15">
        <f t="shared" si="8"/>
        <v>600000</v>
      </c>
      <c r="Q47" s="16"/>
    </row>
    <row r="48" spans="1:18" hidden="1" outlineLevel="1" x14ac:dyDescent="0.25">
      <c r="A48" s="1" t="s">
        <v>47</v>
      </c>
      <c r="B48" s="14">
        <v>50053</v>
      </c>
      <c r="C48" s="14" t="s">
        <v>177</v>
      </c>
      <c r="D48" s="14" t="s">
        <v>28</v>
      </c>
      <c r="E48" s="15">
        <v>21121</v>
      </c>
      <c r="F48" s="15">
        <v>20754</v>
      </c>
      <c r="G48" s="15">
        <v>20188</v>
      </c>
      <c r="H48" s="15">
        <v>0</v>
      </c>
      <c r="I48" s="15">
        <v>20000</v>
      </c>
      <c r="J48" s="15">
        <f t="shared" si="10"/>
        <v>20000</v>
      </c>
      <c r="K48" s="15">
        <f>+I48</f>
        <v>20000</v>
      </c>
      <c r="L48" s="15">
        <f t="shared" si="11"/>
        <v>0</v>
      </c>
      <c r="M48" s="15">
        <v>20000</v>
      </c>
      <c r="N48" s="15">
        <f t="shared" si="12"/>
        <v>20000</v>
      </c>
      <c r="O48" s="15">
        <f>+M48</f>
        <v>20000</v>
      </c>
      <c r="P48" s="15">
        <f t="shared" si="8"/>
        <v>0</v>
      </c>
      <c r="Q48" s="16"/>
    </row>
    <row r="49" spans="1:17" hidden="1" outlineLevel="1" x14ac:dyDescent="0.25">
      <c r="B49" s="14">
        <v>50054</v>
      </c>
      <c r="C49" s="14" t="s">
        <v>178</v>
      </c>
      <c r="D49" s="14" t="s">
        <v>22</v>
      </c>
      <c r="E49" s="15">
        <v>37611.599999999999</v>
      </c>
      <c r="F49" s="15">
        <v>0</v>
      </c>
      <c r="G49" s="15">
        <v>0</v>
      </c>
      <c r="H49" s="15">
        <v>0</v>
      </c>
      <c r="I49" s="15">
        <v>0</v>
      </c>
      <c r="J49" s="15">
        <f t="shared" si="10"/>
        <v>0</v>
      </c>
      <c r="K49" s="15"/>
      <c r="L49" s="15">
        <f t="shared" si="11"/>
        <v>0</v>
      </c>
      <c r="M49" s="15">
        <v>0</v>
      </c>
      <c r="N49" s="15">
        <f t="shared" si="12"/>
        <v>0</v>
      </c>
      <c r="O49" s="15"/>
      <c r="P49" s="15">
        <f t="shared" si="8"/>
        <v>0</v>
      </c>
      <c r="Q49" s="16"/>
    </row>
    <row r="50" spans="1:17" hidden="1" outlineLevel="1" x14ac:dyDescent="0.25">
      <c r="A50" s="1" t="s">
        <v>38</v>
      </c>
      <c r="B50" s="14">
        <v>50062</v>
      </c>
      <c r="C50" s="14" t="s">
        <v>179</v>
      </c>
      <c r="D50" s="14" t="s">
        <v>22</v>
      </c>
      <c r="E50" s="15">
        <v>43519.900000000009</v>
      </c>
      <c r="F50" s="15">
        <v>48290.549999999996</v>
      </c>
      <c r="G50" s="15">
        <v>61913.05</v>
      </c>
      <c r="H50" s="15">
        <v>93000</v>
      </c>
      <c r="I50" s="15">
        <v>65000</v>
      </c>
      <c r="J50" s="15">
        <f t="shared" si="10"/>
        <v>65000</v>
      </c>
      <c r="K50" s="15"/>
      <c r="L50" s="15">
        <f t="shared" si="11"/>
        <v>65000</v>
      </c>
      <c r="M50" s="15">
        <v>75000</v>
      </c>
      <c r="N50" s="15">
        <f t="shared" si="12"/>
        <v>75000</v>
      </c>
      <c r="O50" s="15"/>
      <c r="P50" s="15">
        <f t="shared" si="8"/>
        <v>75000</v>
      </c>
      <c r="Q50" s="16"/>
    </row>
    <row r="51" spans="1:17" hidden="1" outlineLevel="1" x14ac:dyDescent="0.25">
      <c r="B51" s="14">
        <v>50063</v>
      </c>
      <c r="C51" s="14" t="s">
        <v>163</v>
      </c>
      <c r="D51" s="14" t="s">
        <v>26</v>
      </c>
      <c r="E51" s="15">
        <v>9440</v>
      </c>
      <c r="F51" s="15">
        <v>0</v>
      </c>
      <c r="G51" s="15">
        <v>0</v>
      </c>
      <c r="H51" s="15">
        <v>0</v>
      </c>
      <c r="I51" s="15">
        <v>0</v>
      </c>
      <c r="J51" s="15">
        <f t="shared" si="10"/>
        <v>0</v>
      </c>
      <c r="K51" s="15"/>
      <c r="L51" s="15">
        <f t="shared" si="11"/>
        <v>0</v>
      </c>
      <c r="M51" s="15">
        <v>0</v>
      </c>
      <c r="N51" s="15">
        <f t="shared" si="12"/>
        <v>0</v>
      </c>
      <c r="O51" s="15"/>
      <c r="P51" s="15">
        <f t="shared" si="8"/>
        <v>0</v>
      </c>
      <c r="Q51" s="16"/>
    </row>
    <row r="52" spans="1:17" hidden="1" outlineLevel="1" x14ac:dyDescent="0.25">
      <c r="A52" s="1" t="s">
        <v>56</v>
      </c>
      <c r="B52" s="14">
        <v>50064</v>
      </c>
      <c r="C52" s="14" t="s">
        <v>180</v>
      </c>
      <c r="D52" s="14" t="s">
        <v>28</v>
      </c>
      <c r="E52" s="15">
        <v>367074.1100000001</v>
      </c>
      <c r="F52" s="15">
        <v>51019.740000000005</v>
      </c>
      <c r="G52" s="15">
        <v>95909.06</v>
      </c>
      <c r="H52" s="15">
        <v>25000</v>
      </c>
      <c r="I52" s="15">
        <v>100000</v>
      </c>
      <c r="J52" s="15">
        <f t="shared" si="10"/>
        <v>100000</v>
      </c>
      <c r="K52" s="15">
        <v>20000</v>
      </c>
      <c r="L52" s="15">
        <f t="shared" si="11"/>
        <v>80000</v>
      </c>
      <c r="M52" s="15">
        <v>100000</v>
      </c>
      <c r="N52" s="15">
        <f t="shared" si="12"/>
        <v>100000</v>
      </c>
      <c r="O52" s="15"/>
      <c r="P52" s="15">
        <f t="shared" si="8"/>
        <v>100000</v>
      </c>
      <c r="Q52" s="16" t="s">
        <v>57</v>
      </c>
    </row>
    <row r="53" spans="1:17" hidden="1" outlineLevel="1" x14ac:dyDescent="0.25">
      <c r="B53" s="14">
        <v>50068</v>
      </c>
      <c r="C53" s="14" t="s">
        <v>181</v>
      </c>
      <c r="D53" s="14" t="s">
        <v>22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f t="shared" si="10"/>
        <v>0</v>
      </c>
      <c r="K53" s="15"/>
      <c r="L53" s="15">
        <f t="shared" si="11"/>
        <v>0</v>
      </c>
      <c r="M53" s="15">
        <v>0</v>
      </c>
      <c r="N53" s="15">
        <f t="shared" si="12"/>
        <v>0</v>
      </c>
      <c r="O53" s="15"/>
      <c r="P53" s="15">
        <f t="shared" si="8"/>
        <v>0</v>
      </c>
      <c r="Q53" s="16"/>
    </row>
    <row r="54" spans="1:17" hidden="1" outlineLevel="1" x14ac:dyDescent="0.25">
      <c r="A54" s="1" t="s">
        <v>49</v>
      </c>
      <c r="B54" s="14">
        <v>50074</v>
      </c>
      <c r="C54" s="14" t="s">
        <v>182</v>
      </c>
      <c r="D54" s="14" t="s">
        <v>28</v>
      </c>
      <c r="E54" s="15">
        <v>15200.36</v>
      </c>
      <c r="F54" s="15">
        <v>3161</v>
      </c>
      <c r="G54" s="15">
        <v>14265.52</v>
      </c>
      <c r="H54" s="15">
        <v>10000</v>
      </c>
      <c r="I54" s="15">
        <v>830000</v>
      </c>
      <c r="J54" s="15">
        <f t="shared" si="10"/>
        <v>830000</v>
      </c>
      <c r="K54" s="15">
        <v>560000</v>
      </c>
      <c r="L54" s="15">
        <f t="shared" si="11"/>
        <v>270000</v>
      </c>
      <c r="M54" s="15">
        <v>830000</v>
      </c>
      <c r="N54" s="15">
        <f t="shared" si="12"/>
        <v>830000</v>
      </c>
      <c r="O54" s="15"/>
      <c r="P54" s="15">
        <f t="shared" si="8"/>
        <v>830000</v>
      </c>
      <c r="Q54" s="16" t="s">
        <v>58</v>
      </c>
    </row>
    <row r="55" spans="1:17" hidden="1" outlineLevel="1" x14ac:dyDescent="0.25">
      <c r="A55" s="1" t="s">
        <v>16</v>
      </c>
      <c r="B55" s="14">
        <v>50081</v>
      </c>
      <c r="C55" s="14" t="s">
        <v>183</v>
      </c>
      <c r="D55" s="14" t="s">
        <v>53</v>
      </c>
      <c r="E55" s="15">
        <v>83333.36</v>
      </c>
      <c r="F55" s="15">
        <v>137760.36000000002</v>
      </c>
      <c r="G55" s="15">
        <v>134560.83000000002</v>
      </c>
      <c r="H55" s="15">
        <v>145000</v>
      </c>
      <c r="I55" s="15">
        <v>150000</v>
      </c>
      <c r="J55" s="15">
        <f t="shared" si="10"/>
        <v>150000</v>
      </c>
      <c r="K55" s="15">
        <f>12200*3</f>
        <v>36600</v>
      </c>
      <c r="L55" s="15">
        <f t="shared" si="11"/>
        <v>113400</v>
      </c>
      <c r="M55" s="15">
        <v>150000</v>
      </c>
      <c r="N55" s="15">
        <f t="shared" si="12"/>
        <v>150000</v>
      </c>
      <c r="O55" s="15"/>
      <c r="P55" s="15">
        <f t="shared" si="8"/>
        <v>150000</v>
      </c>
      <c r="Q55" s="16"/>
    </row>
    <row r="56" spans="1:17" hidden="1" outlineLevel="1" x14ac:dyDescent="0.25">
      <c r="A56" s="1" t="s">
        <v>16</v>
      </c>
      <c r="B56" s="14">
        <v>50084</v>
      </c>
      <c r="C56" s="14" t="s">
        <v>184</v>
      </c>
      <c r="D56" s="14" t="s">
        <v>26</v>
      </c>
      <c r="E56" s="15">
        <v>1508.8600000000001</v>
      </c>
      <c r="F56" s="15">
        <v>134847.5</v>
      </c>
      <c r="G56" s="15">
        <v>637956.89</v>
      </c>
      <c r="H56" s="15">
        <v>1500000</v>
      </c>
      <c r="I56" s="15">
        <v>500000</v>
      </c>
      <c r="J56" s="15">
        <f t="shared" si="10"/>
        <v>500000</v>
      </c>
      <c r="K56" s="15">
        <v>500000</v>
      </c>
      <c r="L56" s="15">
        <f t="shared" si="11"/>
        <v>0</v>
      </c>
      <c r="M56" s="15">
        <v>500000</v>
      </c>
      <c r="N56" s="15">
        <f t="shared" si="12"/>
        <v>500000</v>
      </c>
      <c r="O56" s="15"/>
      <c r="P56" s="15">
        <f t="shared" si="8"/>
        <v>500000</v>
      </c>
      <c r="Q56" s="16" t="s">
        <v>59</v>
      </c>
    </row>
    <row r="57" spans="1:17" hidden="1" outlineLevel="1" x14ac:dyDescent="0.25">
      <c r="A57" s="1" t="s">
        <v>60</v>
      </c>
      <c r="B57" s="14">
        <v>50085</v>
      </c>
      <c r="C57" s="14" t="s">
        <v>185</v>
      </c>
      <c r="D57" s="14" t="s">
        <v>53</v>
      </c>
      <c r="E57" s="15">
        <v>21224.45</v>
      </c>
      <c r="F57" s="15">
        <v>28693.919999999998</v>
      </c>
      <c r="G57" s="15">
        <v>86505.4</v>
      </c>
      <c r="H57" s="15">
        <v>90000</v>
      </c>
      <c r="I57" s="15">
        <v>115000</v>
      </c>
      <c r="J57" s="15">
        <f t="shared" si="10"/>
        <v>115000</v>
      </c>
      <c r="K57" s="15"/>
      <c r="L57" s="15">
        <f t="shared" si="11"/>
        <v>115000</v>
      </c>
      <c r="M57" s="15">
        <v>115000</v>
      </c>
      <c r="N57" s="15">
        <f t="shared" si="12"/>
        <v>115000</v>
      </c>
      <c r="O57" s="15"/>
      <c r="P57" s="15">
        <f t="shared" si="8"/>
        <v>115000</v>
      </c>
      <c r="Q57" s="16" t="s">
        <v>61</v>
      </c>
    </row>
    <row r="58" spans="1:17" hidden="1" outlineLevel="1" x14ac:dyDescent="0.25">
      <c r="A58" s="1" t="s">
        <v>62</v>
      </c>
      <c r="B58" s="14">
        <v>60026</v>
      </c>
      <c r="C58" s="14" t="s">
        <v>186</v>
      </c>
      <c r="D58" s="14" t="s">
        <v>26</v>
      </c>
      <c r="E58" s="15">
        <v>0</v>
      </c>
      <c r="F58" s="15">
        <v>12603</v>
      </c>
      <c r="G58" s="15">
        <v>26338</v>
      </c>
      <c r="H58" s="15">
        <v>90000</v>
      </c>
      <c r="I58" s="15">
        <v>100000</v>
      </c>
      <c r="J58" s="15">
        <f t="shared" si="10"/>
        <v>100000</v>
      </c>
      <c r="K58" s="15">
        <v>100000</v>
      </c>
      <c r="L58" s="15">
        <f t="shared" si="11"/>
        <v>0</v>
      </c>
      <c r="M58" s="15">
        <v>100000</v>
      </c>
      <c r="N58" s="15">
        <f t="shared" si="12"/>
        <v>100000</v>
      </c>
      <c r="O58" s="15"/>
      <c r="P58" s="15">
        <f t="shared" si="8"/>
        <v>100000</v>
      </c>
      <c r="Q58" s="26" t="s">
        <v>63</v>
      </c>
    </row>
    <row r="59" spans="1:17" hidden="1" outlineLevel="1" x14ac:dyDescent="0.25">
      <c r="B59" s="14">
        <v>60040</v>
      </c>
      <c r="C59" s="14" t="s">
        <v>187</v>
      </c>
      <c r="D59" s="14" t="s">
        <v>22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f t="shared" si="10"/>
        <v>0</v>
      </c>
      <c r="K59" s="15"/>
      <c r="L59" s="15">
        <f t="shared" si="11"/>
        <v>0</v>
      </c>
      <c r="M59" s="15">
        <v>0</v>
      </c>
      <c r="N59" s="15">
        <f t="shared" si="12"/>
        <v>0</v>
      </c>
      <c r="O59" s="15"/>
      <c r="P59" s="15">
        <f t="shared" si="8"/>
        <v>0</v>
      </c>
      <c r="Q59" s="16"/>
    </row>
    <row r="60" spans="1:17" hidden="1" outlineLevel="1" x14ac:dyDescent="0.25">
      <c r="A60" s="1" t="s">
        <v>36</v>
      </c>
      <c r="B60" s="14">
        <v>60041</v>
      </c>
      <c r="C60" s="14" t="s">
        <v>188</v>
      </c>
      <c r="D60" s="14" t="s">
        <v>22</v>
      </c>
      <c r="E60" s="15">
        <v>60523.880000000005</v>
      </c>
      <c r="F60" s="15">
        <v>156654.25</v>
      </c>
      <c r="G60" s="15">
        <v>300941.25</v>
      </c>
      <c r="H60" s="15">
        <v>10000</v>
      </c>
      <c r="I60" s="15">
        <v>300000</v>
      </c>
      <c r="J60" s="15">
        <f t="shared" si="10"/>
        <v>300000</v>
      </c>
      <c r="K60" s="15"/>
      <c r="L60" s="15">
        <f t="shared" si="11"/>
        <v>300000</v>
      </c>
      <c r="M60" s="15">
        <v>350000</v>
      </c>
      <c r="N60" s="15">
        <f t="shared" si="12"/>
        <v>350000</v>
      </c>
      <c r="O60" s="15"/>
      <c r="P60" s="15">
        <f t="shared" si="8"/>
        <v>350000</v>
      </c>
      <c r="Q60" s="16" t="s">
        <v>64</v>
      </c>
    </row>
    <row r="61" spans="1:17" hidden="1" outlineLevel="1" x14ac:dyDescent="0.25">
      <c r="B61" s="14">
        <v>60042</v>
      </c>
      <c r="C61" s="14" t="s">
        <v>189</v>
      </c>
      <c r="D61" s="14" t="s">
        <v>22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f t="shared" si="10"/>
        <v>0</v>
      </c>
      <c r="K61" s="15"/>
      <c r="L61" s="15">
        <f t="shared" si="11"/>
        <v>0</v>
      </c>
      <c r="M61" s="15">
        <v>0</v>
      </c>
      <c r="N61" s="15">
        <f t="shared" si="12"/>
        <v>0</v>
      </c>
      <c r="O61" s="15"/>
      <c r="P61" s="15">
        <f t="shared" si="8"/>
        <v>0</v>
      </c>
      <c r="Q61" s="16"/>
    </row>
    <row r="62" spans="1:17" hidden="1" outlineLevel="1" x14ac:dyDescent="0.25">
      <c r="A62" s="1" t="s">
        <v>62</v>
      </c>
      <c r="B62" s="14">
        <v>60045</v>
      </c>
      <c r="C62" s="14" t="s">
        <v>190</v>
      </c>
      <c r="D62" s="14" t="s">
        <v>22</v>
      </c>
      <c r="E62" s="15">
        <v>215250</v>
      </c>
      <c r="F62" s="15">
        <v>296146.81</v>
      </c>
      <c r="G62" s="15">
        <v>242995.79</v>
      </c>
      <c r="H62" s="15">
        <v>55000</v>
      </c>
      <c r="I62" s="15">
        <v>150000</v>
      </c>
      <c r="J62" s="15">
        <f t="shared" si="10"/>
        <v>150000</v>
      </c>
      <c r="K62" s="15"/>
      <c r="L62" s="15">
        <f t="shared" si="11"/>
        <v>150000</v>
      </c>
      <c r="M62" s="15">
        <v>200000</v>
      </c>
      <c r="N62" s="15">
        <f t="shared" si="12"/>
        <v>200000</v>
      </c>
      <c r="O62" s="15"/>
      <c r="P62" s="15">
        <f t="shared" si="8"/>
        <v>200000</v>
      </c>
      <c r="Q62" s="16" t="s">
        <v>65</v>
      </c>
    </row>
    <row r="63" spans="1:17" hidden="1" outlineLevel="1" x14ac:dyDescent="0.25">
      <c r="B63" s="14">
        <v>60047</v>
      </c>
      <c r="C63" s="14" t="s">
        <v>166</v>
      </c>
      <c r="D63" s="14" t="s">
        <v>22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f t="shared" si="10"/>
        <v>0</v>
      </c>
      <c r="K63" s="15"/>
      <c r="L63" s="15">
        <f t="shared" si="11"/>
        <v>0</v>
      </c>
      <c r="M63" s="15">
        <v>0</v>
      </c>
      <c r="N63" s="15">
        <f t="shared" si="12"/>
        <v>0</v>
      </c>
      <c r="O63" s="15"/>
      <c r="P63" s="15">
        <f t="shared" si="8"/>
        <v>0</v>
      </c>
      <c r="Q63" s="16"/>
    </row>
    <row r="64" spans="1:17" hidden="1" outlineLevel="1" x14ac:dyDescent="0.25">
      <c r="B64" s="27"/>
      <c r="C64" s="28" t="s">
        <v>66</v>
      </c>
      <c r="D64" s="27"/>
      <c r="E64" s="29"/>
      <c r="F64" s="29"/>
      <c r="G64" s="29"/>
      <c r="H64" s="29"/>
      <c r="I64" s="29"/>
      <c r="J64" s="29">
        <f>-I65*0.3+3000000</f>
        <v>-2002500</v>
      </c>
      <c r="K64" s="29"/>
      <c r="L64" s="29">
        <f>+J64</f>
        <v>-2002500</v>
      </c>
      <c r="M64" s="29"/>
      <c r="N64" s="29">
        <f>-M65*0.3+3000000</f>
        <v>-2713800</v>
      </c>
      <c r="O64" s="29"/>
      <c r="P64" s="29">
        <f>+N64</f>
        <v>-2713800</v>
      </c>
      <c r="Q64" s="30">
        <f>+L64/(L65-L64)</f>
        <v>-0.20080421964622358</v>
      </c>
    </row>
    <row r="65" spans="1:17" collapsed="1" x14ac:dyDescent="0.25">
      <c r="B65" s="31" t="s">
        <v>67</v>
      </c>
      <c r="C65" s="32"/>
      <c r="D65" s="32"/>
      <c r="E65" s="33">
        <f t="shared" ref="E65:I65" si="13">SUM(E44:E63)</f>
        <v>9351418.7299999986</v>
      </c>
      <c r="F65" s="33">
        <f t="shared" si="13"/>
        <v>13064509.67</v>
      </c>
      <c r="G65" s="33">
        <f t="shared" si="13"/>
        <v>12858568.890000002</v>
      </c>
      <c r="H65" s="33">
        <f t="shared" si="13"/>
        <v>15035500</v>
      </c>
      <c r="I65" s="33">
        <f t="shared" si="13"/>
        <v>16675000</v>
      </c>
      <c r="J65" s="33">
        <f>SUM(J44:J64)</f>
        <v>15472500</v>
      </c>
      <c r="K65" s="33">
        <f>SUM(K44:K63)</f>
        <v>7502600</v>
      </c>
      <c r="L65" s="33">
        <f>SUM(L44:L64)</f>
        <v>7969900</v>
      </c>
      <c r="M65" s="33">
        <f>SUM(M44:M64)</f>
        <v>19046000</v>
      </c>
      <c r="N65" s="33">
        <f t="shared" ref="N65:P65" si="14">SUM(N44:N64)</f>
        <v>17132200</v>
      </c>
      <c r="O65" s="33">
        <f t="shared" si="14"/>
        <v>6472000</v>
      </c>
      <c r="P65" s="33">
        <f t="shared" si="14"/>
        <v>10660200</v>
      </c>
      <c r="Q65" s="16"/>
    </row>
    <row r="66" spans="1:17" hidden="1" outlineLevel="1" x14ac:dyDescent="0.25">
      <c r="B66" s="14"/>
      <c r="C66" s="14"/>
      <c r="D66" s="1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6"/>
    </row>
    <row r="67" spans="1:17" hidden="1" outlineLevel="1" x14ac:dyDescent="0.25">
      <c r="B67" s="15"/>
      <c r="C67" s="15" t="s">
        <v>68</v>
      </c>
      <c r="D67" s="15" t="s">
        <v>22</v>
      </c>
      <c r="E67" s="15">
        <v>1886555.4900000002</v>
      </c>
      <c r="F67" s="15">
        <v>4429803.05</v>
      </c>
      <c r="G67" s="15">
        <v>3092683.75</v>
      </c>
      <c r="H67" s="15">
        <v>2100000</v>
      </c>
      <c r="I67" s="15">
        <v>7666400</v>
      </c>
      <c r="J67" s="15">
        <v>4512000</v>
      </c>
      <c r="K67" s="15">
        <v>250000</v>
      </c>
      <c r="L67" s="15">
        <f>+J67-K67</f>
        <v>4262000</v>
      </c>
      <c r="M67" s="15">
        <v>4512000</v>
      </c>
      <c r="N67" s="15">
        <f>+M67</f>
        <v>4512000</v>
      </c>
      <c r="O67" s="15">
        <f>+K67*1.02</f>
        <v>255000</v>
      </c>
      <c r="P67" s="15">
        <f>+N67-O67</f>
        <v>4257000</v>
      </c>
      <c r="Q67" s="16"/>
    </row>
    <row r="68" spans="1:17" hidden="1" outlineLevel="1" x14ac:dyDescent="0.25">
      <c r="B68" s="15"/>
      <c r="C68" s="15" t="s">
        <v>69</v>
      </c>
      <c r="D68" s="15" t="s">
        <v>22</v>
      </c>
      <c r="E68" s="15">
        <v>3200325.7700000005</v>
      </c>
      <c r="F68" s="15">
        <v>4337928.04</v>
      </c>
      <c r="G68" s="15">
        <v>4942431.2499999991</v>
      </c>
      <c r="H68" s="15">
        <v>3600000</v>
      </c>
      <c r="I68" s="15">
        <v>6939700</v>
      </c>
      <c r="J68" s="15">
        <v>5315000</v>
      </c>
      <c r="K68" s="15">
        <v>2370000</v>
      </c>
      <c r="L68" s="15">
        <f t="shared" ref="L68:L71" si="15">+J68-K68</f>
        <v>2945000</v>
      </c>
      <c r="M68" s="15">
        <v>5315000</v>
      </c>
      <c r="N68" s="15">
        <f>+M68</f>
        <v>5315000</v>
      </c>
      <c r="O68" s="15">
        <f>+K68*1.02</f>
        <v>2417400</v>
      </c>
      <c r="P68" s="15">
        <f t="shared" ref="P68:P69" si="16">+N68-O68</f>
        <v>2897600</v>
      </c>
      <c r="Q68" s="16"/>
    </row>
    <row r="69" spans="1:17" hidden="1" outlineLevel="1" x14ac:dyDescent="0.25">
      <c r="B69" s="15"/>
      <c r="C69" s="15" t="s">
        <v>70</v>
      </c>
      <c r="D69" s="15" t="s">
        <v>22</v>
      </c>
      <c r="E69" s="15">
        <v>687669.08000000007</v>
      </c>
      <c r="F69" s="15">
        <v>655190.36</v>
      </c>
      <c r="G69" s="15">
        <v>1028131.6400000001</v>
      </c>
      <c r="H69" s="15">
        <v>610000</v>
      </c>
      <c r="I69" s="15">
        <v>4111900</v>
      </c>
      <c r="J69" s="15">
        <f>2571000-800000</f>
        <v>1771000</v>
      </c>
      <c r="K69" s="15">
        <v>115000</v>
      </c>
      <c r="L69" s="15">
        <f t="shared" si="15"/>
        <v>1656000</v>
      </c>
      <c r="M69" s="15">
        <v>2571000</v>
      </c>
      <c r="N69" s="15">
        <f>+M69-800000</f>
        <v>1771000</v>
      </c>
      <c r="O69" s="15">
        <f>+K69*1.02</f>
        <v>117300</v>
      </c>
      <c r="P69" s="15">
        <f t="shared" si="16"/>
        <v>1653700</v>
      </c>
      <c r="Q69" s="16"/>
    </row>
    <row r="70" spans="1:17" hidden="1" outlineLevel="1" x14ac:dyDescent="0.25">
      <c r="B70" s="15"/>
      <c r="C70" s="15" t="s">
        <v>71</v>
      </c>
      <c r="D70" s="15" t="s">
        <v>22</v>
      </c>
      <c r="E70" s="15">
        <v>749103.33000000007</v>
      </c>
      <c r="F70" s="15">
        <v>910780.86</v>
      </c>
      <c r="G70" s="15">
        <v>927128.54</v>
      </c>
      <c r="H70" s="15">
        <v>300000</v>
      </c>
      <c r="I70" s="15">
        <v>1815900</v>
      </c>
      <c r="J70" s="15">
        <v>1033000</v>
      </c>
      <c r="K70" s="15"/>
      <c r="L70" s="15">
        <f t="shared" si="15"/>
        <v>1033000</v>
      </c>
      <c r="M70" s="15">
        <v>1033000</v>
      </c>
      <c r="N70" s="15">
        <f t="shared" ref="N70:N71" si="17">+M70</f>
        <v>1033000</v>
      </c>
      <c r="O70" s="15"/>
      <c r="P70" s="15">
        <f t="shared" ref="P70:P71" si="18">+M70-O70</f>
        <v>1033000</v>
      </c>
      <c r="Q70" s="16"/>
    </row>
    <row r="71" spans="1:17" hidden="1" outlineLevel="1" x14ac:dyDescent="0.25">
      <c r="B71" s="15"/>
      <c r="C71" s="15" t="s">
        <v>72</v>
      </c>
      <c r="D71" s="15" t="s">
        <v>22</v>
      </c>
      <c r="E71" s="15">
        <v>360726.95999999996</v>
      </c>
      <c r="F71" s="15">
        <v>574991.12</v>
      </c>
      <c r="G71" s="15">
        <v>756629.59</v>
      </c>
      <c r="H71" s="15">
        <v>470000</v>
      </c>
      <c r="I71" s="15">
        <v>1152400</v>
      </c>
      <c r="J71" s="15">
        <v>815000</v>
      </c>
      <c r="K71" s="15"/>
      <c r="L71" s="15">
        <f t="shared" si="15"/>
        <v>815000</v>
      </c>
      <c r="M71" s="15">
        <v>815000</v>
      </c>
      <c r="N71" s="15">
        <f t="shared" si="17"/>
        <v>815000</v>
      </c>
      <c r="O71" s="15"/>
      <c r="P71" s="15">
        <f t="shared" si="18"/>
        <v>815000</v>
      </c>
      <c r="Q71" s="16"/>
    </row>
    <row r="72" spans="1:17" hidden="1" outlineLevel="1" x14ac:dyDescent="0.25">
      <c r="B72" s="29"/>
      <c r="C72" s="34" t="s">
        <v>73</v>
      </c>
      <c r="D72" s="15"/>
      <c r="E72" s="29"/>
      <c r="F72" s="29"/>
      <c r="G72" s="29"/>
      <c r="H72" s="29"/>
      <c r="I72" s="29"/>
      <c r="J72" s="15">
        <v>-3000000</v>
      </c>
      <c r="K72" s="29"/>
      <c r="L72" s="15">
        <v>-3000000</v>
      </c>
      <c r="M72" s="29"/>
      <c r="N72" s="29">
        <v>-3000000</v>
      </c>
      <c r="O72" s="29"/>
      <c r="P72" s="29">
        <v>-3000000</v>
      </c>
      <c r="Q72" s="16"/>
    </row>
    <row r="73" spans="1:17" collapsed="1" x14ac:dyDescent="0.25">
      <c r="B73" s="31" t="s">
        <v>74</v>
      </c>
      <c r="C73" s="32"/>
      <c r="D73" s="32"/>
      <c r="E73" s="33">
        <f t="shared" ref="E73:K73" si="19">SUM(E67:E71)</f>
        <v>6884380.6300000008</v>
      </c>
      <c r="F73" s="33">
        <f t="shared" si="19"/>
        <v>10908693.429999998</v>
      </c>
      <c r="G73" s="33">
        <f t="shared" si="19"/>
        <v>10747004.77</v>
      </c>
      <c r="H73" s="33">
        <f t="shared" si="19"/>
        <v>7080000</v>
      </c>
      <c r="I73" s="33">
        <f>SUM(I67:I72)</f>
        <v>21686300</v>
      </c>
      <c r="J73" s="33">
        <f>SUM(J67:J72)</f>
        <v>10446000</v>
      </c>
      <c r="K73" s="33">
        <f t="shared" si="19"/>
        <v>2735000</v>
      </c>
      <c r="L73" s="33">
        <f>SUM(L67:L72)</f>
        <v>7711000</v>
      </c>
      <c r="M73" s="33">
        <f t="shared" ref="M73:P73" si="20">SUM(M67:M72)</f>
        <v>14246000</v>
      </c>
      <c r="N73" s="33">
        <f t="shared" si="20"/>
        <v>10446000</v>
      </c>
      <c r="O73" s="33">
        <f t="shared" si="20"/>
        <v>2789700</v>
      </c>
      <c r="P73" s="33">
        <f t="shared" si="20"/>
        <v>7656300</v>
      </c>
      <c r="Q73" s="16"/>
    </row>
    <row r="74" spans="1:17" hidden="1" outlineLevel="1" x14ac:dyDescent="0.25">
      <c r="B74" s="29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16"/>
    </row>
    <row r="75" spans="1:17" ht="15.75" hidden="1" customHeight="1" outlineLevel="2" x14ac:dyDescent="0.25">
      <c r="A75" s="1" t="s">
        <v>38</v>
      </c>
      <c r="B75" s="14">
        <v>10010</v>
      </c>
      <c r="C75" s="14" t="s">
        <v>78</v>
      </c>
      <c r="D75" s="14" t="s">
        <v>53</v>
      </c>
      <c r="E75" s="15">
        <v>5365914.7499999991</v>
      </c>
      <c r="F75" s="15">
        <v>5436783.8300000019</v>
      </c>
      <c r="G75" s="15">
        <v>5815879.3700000001</v>
      </c>
      <c r="H75" s="15">
        <v>6710000</v>
      </c>
      <c r="I75" s="15">
        <v>9637000</v>
      </c>
      <c r="J75" s="15">
        <f>9637000-1000000</f>
        <v>8637000</v>
      </c>
      <c r="K75" s="15">
        <f>+J75-L75</f>
        <v>7513000</v>
      </c>
      <c r="L75" s="15">
        <f>1062000*2-1000000</f>
        <v>1124000</v>
      </c>
      <c r="M75" s="15">
        <v>9831000</v>
      </c>
      <c r="N75" s="15">
        <f>+M75</f>
        <v>9831000</v>
      </c>
      <c r="O75" s="15">
        <f>+N75-P75</f>
        <v>8748000</v>
      </c>
      <c r="P75" s="15">
        <f>1083000</f>
        <v>1083000</v>
      </c>
      <c r="Q75" s="16" t="s">
        <v>75</v>
      </c>
    </row>
    <row r="76" spans="1:17" ht="15.75" hidden="1" customHeight="1" outlineLevel="2" x14ac:dyDescent="0.25">
      <c r="A76" s="1" t="s">
        <v>38</v>
      </c>
      <c r="B76" s="14">
        <v>15010</v>
      </c>
      <c r="C76" s="14" t="s">
        <v>78</v>
      </c>
      <c r="D76" s="14" t="s">
        <v>53</v>
      </c>
      <c r="E76" s="15">
        <v>2115355.4899999998</v>
      </c>
      <c r="F76" s="15">
        <v>2441295.87</v>
      </c>
      <c r="G76" s="15">
        <v>2815869.67</v>
      </c>
      <c r="H76" s="15">
        <v>2506000</v>
      </c>
      <c r="I76" s="15">
        <v>2624000</v>
      </c>
      <c r="J76" s="15">
        <f>+K76+L76</f>
        <v>2624000</v>
      </c>
      <c r="K76" s="15">
        <f>+I76-L76</f>
        <v>2624000</v>
      </c>
      <c r="L76" s="15"/>
      <c r="M76" s="15">
        <v>2678000</v>
      </c>
      <c r="N76" s="15">
        <f t="shared" ref="N76:N78" si="21">+M76</f>
        <v>2678000</v>
      </c>
      <c r="O76" s="15">
        <f>+M76</f>
        <v>2678000</v>
      </c>
      <c r="P76" s="15"/>
      <c r="Q76" s="16" t="s">
        <v>76</v>
      </c>
    </row>
    <row r="77" spans="1:17" ht="15.75" hidden="1" customHeight="1" outlineLevel="2" x14ac:dyDescent="0.25">
      <c r="A77" s="1" t="s">
        <v>38</v>
      </c>
      <c r="B77" s="14">
        <v>50010</v>
      </c>
      <c r="C77" s="14" t="s">
        <v>78</v>
      </c>
      <c r="D77" s="14" t="s">
        <v>53</v>
      </c>
      <c r="E77" s="15">
        <v>10147374.93</v>
      </c>
      <c r="F77" s="15">
        <v>8701199.3599999994</v>
      </c>
      <c r="G77" s="15">
        <v>9601556.6699999981</v>
      </c>
      <c r="H77" s="15">
        <v>10813000</v>
      </c>
      <c r="I77" s="15">
        <v>10654000</v>
      </c>
      <c r="J77" s="15">
        <f>+K77+L77</f>
        <v>10654000</v>
      </c>
      <c r="K77" s="15">
        <f>+I77-L77</f>
        <v>9991000</v>
      </c>
      <c r="L77" s="15">
        <f>208000+455000</f>
        <v>663000</v>
      </c>
      <c r="M77" s="15">
        <v>11091000</v>
      </c>
      <c r="N77" s="15">
        <f t="shared" si="21"/>
        <v>11091000</v>
      </c>
      <c r="O77" s="15">
        <f>+M77-P77</f>
        <v>10887000</v>
      </c>
      <c r="P77" s="15">
        <v>204000</v>
      </c>
      <c r="Q77" s="16" t="s">
        <v>76</v>
      </c>
    </row>
    <row r="78" spans="1:17" ht="15.75" hidden="1" customHeight="1" outlineLevel="2" x14ac:dyDescent="0.25">
      <c r="A78" s="1" t="s">
        <v>38</v>
      </c>
      <c r="B78" s="14">
        <v>60010</v>
      </c>
      <c r="C78" s="14" t="s">
        <v>78</v>
      </c>
      <c r="D78" s="14" t="s">
        <v>53</v>
      </c>
      <c r="E78" s="15">
        <v>12463578.040000001</v>
      </c>
      <c r="F78" s="15">
        <v>12377220.520000001</v>
      </c>
      <c r="G78" s="15">
        <v>13701918.68</v>
      </c>
      <c r="H78" s="15">
        <v>14800000</v>
      </c>
      <c r="I78" s="15">
        <v>16141000</v>
      </c>
      <c r="J78" s="15">
        <f>+K78+L78</f>
        <v>16141000</v>
      </c>
      <c r="K78" s="15">
        <f>+I78-L78</f>
        <v>15504000</v>
      </c>
      <c r="L78" s="15">
        <v>637000</v>
      </c>
      <c r="M78" s="15">
        <v>16464000</v>
      </c>
      <c r="N78" s="15">
        <f t="shared" si="21"/>
        <v>16464000</v>
      </c>
      <c r="O78" s="15">
        <f>+N78-P78</f>
        <v>16464000</v>
      </c>
      <c r="P78" s="15"/>
      <c r="Q78" s="16" t="s">
        <v>77</v>
      </c>
    </row>
    <row r="79" spans="1:17" hidden="1" outlineLevel="1" x14ac:dyDescent="0.25">
      <c r="B79" s="24"/>
      <c r="C79" s="24" t="s">
        <v>78</v>
      </c>
      <c r="D79" s="24"/>
      <c r="E79" s="25">
        <f t="shared" ref="E79:M79" si="22">SUM(E75:E78)</f>
        <v>30092223.210000001</v>
      </c>
      <c r="F79" s="25">
        <f t="shared" si="22"/>
        <v>28956499.580000006</v>
      </c>
      <c r="G79" s="25">
        <f t="shared" si="22"/>
        <v>31935224.389999997</v>
      </c>
      <c r="H79" s="25">
        <f t="shared" si="22"/>
        <v>34829000</v>
      </c>
      <c r="I79" s="25">
        <f t="shared" si="22"/>
        <v>39056000</v>
      </c>
      <c r="J79" s="25">
        <f t="shared" si="22"/>
        <v>38056000</v>
      </c>
      <c r="K79" s="25">
        <f t="shared" si="22"/>
        <v>35632000</v>
      </c>
      <c r="L79" s="25">
        <f t="shared" si="22"/>
        <v>2424000</v>
      </c>
      <c r="M79" s="25">
        <f t="shared" si="22"/>
        <v>40064000</v>
      </c>
      <c r="N79" s="25">
        <f>SUM(N75:N78)</f>
        <v>40064000</v>
      </c>
      <c r="O79" s="25">
        <f>SUM(O75:O78)</f>
        <v>38777000</v>
      </c>
      <c r="P79" s="25">
        <f>SUM(P75:P78)</f>
        <v>1287000</v>
      </c>
      <c r="Q79" s="16"/>
    </row>
    <row r="80" spans="1:17" hidden="1" outlineLevel="1" x14ac:dyDescent="0.25">
      <c r="A80" s="1" t="s">
        <v>38</v>
      </c>
      <c r="B80" s="22">
        <v>50018</v>
      </c>
      <c r="C80" s="22" t="s">
        <v>191</v>
      </c>
      <c r="D80" s="22" t="s">
        <v>53</v>
      </c>
      <c r="E80" s="23">
        <v>930221.87000000011</v>
      </c>
      <c r="F80" s="23">
        <v>829804.09000000008</v>
      </c>
      <c r="G80" s="23">
        <v>860930.8600000001</v>
      </c>
      <c r="H80" s="23">
        <v>750000</v>
      </c>
      <c r="I80" s="23">
        <v>1250000</v>
      </c>
      <c r="J80" s="15">
        <f t="shared" ref="J80:J86" si="23">+K80+L80</f>
        <v>1250000</v>
      </c>
      <c r="K80" s="23">
        <f>+I80</f>
        <v>1250000</v>
      </c>
      <c r="L80" s="23">
        <f t="shared" ref="L80:L86" si="24">+I80-K80</f>
        <v>0</v>
      </c>
      <c r="M80" s="23">
        <v>1300000</v>
      </c>
      <c r="N80" s="23">
        <f>+M80</f>
        <v>1300000</v>
      </c>
      <c r="O80" s="23">
        <f>+M80</f>
        <v>1300000</v>
      </c>
      <c r="P80" s="23">
        <f t="shared" ref="P80:P86" si="25">+M80-O80</f>
        <v>0</v>
      </c>
      <c r="Q80" s="1" t="s">
        <v>79</v>
      </c>
    </row>
    <row r="81" spans="1:17" hidden="1" outlineLevel="1" x14ac:dyDescent="0.25">
      <c r="A81" s="1" t="s">
        <v>16</v>
      </c>
      <c r="B81" s="14">
        <v>50037</v>
      </c>
      <c r="C81" s="14" t="s">
        <v>192</v>
      </c>
      <c r="D81" s="14" t="s">
        <v>26</v>
      </c>
      <c r="E81" s="15">
        <v>428260</v>
      </c>
      <c r="F81" s="15">
        <v>1463397</v>
      </c>
      <c r="G81" s="15">
        <v>882253</v>
      </c>
      <c r="H81" s="15">
        <v>445000</v>
      </c>
      <c r="I81" s="15">
        <v>530000</v>
      </c>
      <c r="J81" s="15">
        <f t="shared" si="23"/>
        <v>530000</v>
      </c>
      <c r="K81" s="15">
        <f>+I81</f>
        <v>530000</v>
      </c>
      <c r="L81" s="15">
        <f t="shared" si="24"/>
        <v>0</v>
      </c>
      <c r="M81" s="15">
        <v>530000</v>
      </c>
      <c r="N81" s="23">
        <f t="shared" ref="N81:N86" si="26">+M81</f>
        <v>530000</v>
      </c>
      <c r="O81" s="15">
        <f>+M81</f>
        <v>530000</v>
      </c>
      <c r="P81" s="15">
        <f t="shared" si="25"/>
        <v>0</v>
      </c>
      <c r="Q81" s="16" t="s">
        <v>80</v>
      </c>
    </row>
    <row r="82" spans="1:17" hidden="1" outlineLevel="1" x14ac:dyDescent="0.25">
      <c r="A82" s="1" t="s">
        <v>38</v>
      </c>
      <c r="B82" s="14">
        <v>50049</v>
      </c>
      <c r="C82" s="14" t="s">
        <v>193</v>
      </c>
      <c r="D82" s="14" t="s">
        <v>26</v>
      </c>
      <c r="E82" s="15">
        <v>371212.89</v>
      </c>
      <c r="F82" s="15">
        <v>586833.44999999995</v>
      </c>
      <c r="G82" s="15">
        <v>515639.79999999993</v>
      </c>
      <c r="H82" s="15">
        <v>200000</v>
      </c>
      <c r="I82" s="15">
        <v>500000</v>
      </c>
      <c r="J82" s="15">
        <f t="shared" si="23"/>
        <v>500000</v>
      </c>
      <c r="K82" s="15">
        <f>+I82</f>
        <v>500000</v>
      </c>
      <c r="L82" s="15">
        <f t="shared" si="24"/>
        <v>0</v>
      </c>
      <c r="M82" s="15">
        <v>550000</v>
      </c>
      <c r="N82" s="23">
        <f t="shared" si="26"/>
        <v>550000</v>
      </c>
      <c r="O82" s="15">
        <f>+M82</f>
        <v>550000</v>
      </c>
      <c r="P82" s="15">
        <f t="shared" si="25"/>
        <v>0</v>
      </c>
      <c r="Q82" s="16" t="s">
        <v>81</v>
      </c>
    </row>
    <row r="83" spans="1:17" hidden="1" outlineLevel="1" x14ac:dyDescent="0.25">
      <c r="A83" s="1" t="s">
        <v>38</v>
      </c>
      <c r="B83" s="14">
        <v>50050</v>
      </c>
      <c r="C83" s="14" t="s">
        <v>86</v>
      </c>
      <c r="D83" s="14" t="s">
        <v>26</v>
      </c>
      <c r="E83" s="15">
        <v>739562.05</v>
      </c>
      <c r="F83" s="15">
        <v>717579.32000000007</v>
      </c>
      <c r="G83" s="15">
        <v>529343.26</v>
      </c>
      <c r="H83" s="15">
        <v>1150000</v>
      </c>
      <c r="I83" s="15">
        <v>1000000</v>
      </c>
      <c r="J83" s="15">
        <f t="shared" si="23"/>
        <v>1000000</v>
      </c>
      <c r="K83" s="15">
        <f>195000+55000+10000</f>
        <v>260000</v>
      </c>
      <c r="L83" s="15">
        <f t="shared" si="24"/>
        <v>740000</v>
      </c>
      <c r="M83" s="15">
        <v>500000</v>
      </c>
      <c r="N83" s="23">
        <f t="shared" si="26"/>
        <v>500000</v>
      </c>
      <c r="O83" s="15">
        <f>55000+10000+50000</f>
        <v>115000</v>
      </c>
      <c r="P83" s="15">
        <f t="shared" si="25"/>
        <v>385000</v>
      </c>
      <c r="Q83" s="16" t="s">
        <v>82</v>
      </c>
    </row>
    <row r="84" spans="1:17" hidden="1" outlineLevel="1" x14ac:dyDescent="0.25">
      <c r="A84" s="1" t="s">
        <v>38</v>
      </c>
      <c r="B84" s="14">
        <v>50051</v>
      </c>
      <c r="C84" s="14" t="s">
        <v>194</v>
      </c>
      <c r="D84" s="14" t="s">
        <v>22</v>
      </c>
      <c r="E84" s="15">
        <v>355486.71</v>
      </c>
      <c r="F84" s="15">
        <v>0</v>
      </c>
      <c r="G84" s="15">
        <v>59758</v>
      </c>
      <c r="H84" s="15">
        <v>0</v>
      </c>
      <c r="I84" s="15">
        <v>50000</v>
      </c>
      <c r="J84" s="15">
        <f t="shared" si="23"/>
        <v>50000</v>
      </c>
      <c r="K84" s="15">
        <v>0</v>
      </c>
      <c r="L84" s="15">
        <f t="shared" si="24"/>
        <v>50000</v>
      </c>
      <c r="M84" s="15">
        <v>150000</v>
      </c>
      <c r="N84" s="23">
        <f t="shared" si="26"/>
        <v>150000</v>
      </c>
      <c r="O84" s="15">
        <v>0</v>
      </c>
      <c r="P84" s="15">
        <f t="shared" si="25"/>
        <v>150000</v>
      </c>
      <c r="Q84" s="16" t="s">
        <v>83</v>
      </c>
    </row>
    <row r="85" spans="1:17" hidden="1" outlineLevel="1" x14ac:dyDescent="0.25">
      <c r="A85" s="1" t="s">
        <v>38</v>
      </c>
      <c r="B85" s="14">
        <v>50058</v>
      </c>
      <c r="C85" s="14" t="s">
        <v>195</v>
      </c>
      <c r="D85" s="14" t="s">
        <v>22</v>
      </c>
      <c r="E85" s="15">
        <v>383781.51</v>
      </c>
      <c r="F85" s="15">
        <v>541093.38</v>
      </c>
      <c r="G85" s="15">
        <v>493965.05</v>
      </c>
      <c r="H85" s="15">
        <v>400000</v>
      </c>
      <c r="I85" s="15">
        <v>500000</v>
      </c>
      <c r="J85" s="15">
        <f t="shared" si="23"/>
        <v>500000</v>
      </c>
      <c r="K85" s="15">
        <v>0</v>
      </c>
      <c r="L85" s="15">
        <f t="shared" si="24"/>
        <v>500000</v>
      </c>
      <c r="M85" s="15">
        <v>500000</v>
      </c>
      <c r="N85" s="23">
        <f t="shared" si="26"/>
        <v>500000</v>
      </c>
      <c r="O85" s="15">
        <v>0</v>
      </c>
      <c r="P85" s="15">
        <f t="shared" si="25"/>
        <v>500000</v>
      </c>
      <c r="Q85" s="16" t="s">
        <v>84</v>
      </c>
    </row>
    <row r="86" spans="1:17" hidden="1" outlineLevel="1" x14ac:dyDescent="0.25">
      <c r="A86" s="1" t="s">
        <v>38</v>
      </c>
      <c r="B86" s="14">
        <v>50067</v>
      </c>
      <c r="C86" s="14" t="s">
        <v>196</v>
      </c>
      <c r="D86" s="14" t="s">
        <v>53</v>
      </c>
      <c r="E86" s="15">
        <v>4252058.2899999991</v>
      </c>
      <c r="F86" s="15">
        <v>3971625.8400000003</v>
      </c>
      <c r="G86" s="15">
        <v>4606070.49</v>
      </c>
      <c r="H86" s="15">
        <v>5175000</v>
      </c>
      <c r="I86" s="15">
        <v>5750000</v>
      </c>
      <c r="J86" s="15">
        <f t="shared" si="23"/>
        <v>5750000</v>
      </c>
      <c r="K86" s="15">
        <f>+I86</f>
        <v>5750000</v>
      </c>
      <c r="L86" s="15">
        <f t="shared" si="24"/>
        <v>0</v>
      </c>
      <c r="M86" s="15">
        <v>6100000</v>
      </c>
      <c r="N86" s="23">
        <f t="shared" si="26"/>
        <v>6100000</v>
      </c>
      <c r="O86" s="15">
        <f>+M86</f>
        <v>6100000</v>
      </c>
      <c r="P86" s="15">
        <f t="shared" si="25"/>
        <v>0</v>
      </c>
      <c r="Q86" s="16" t="s">
        <v>85</v>
      </c>
    </row>
    <row r="87" spans="1:17" collapsed="1" x14ac:dyDescent="0.25">
      <c r="B87" s="31" t="s">
        <v>86</v>
      </c>
      <c r="C87" s="32"/>
      <c r="D87" s="32"/>
      <c r="E87" s="33">
        <f t="shared" ref="E87:P87" si="27">SUM(E79:E86)</f>
        <v>37552806.530000001</v>
      </c>
      <c r="F87" s="33">
        <f t="shared" si="27"/>
        <v>37066832.660000004</v>
      </c>
      <c r="G87" s="33">
        <f t="shared" si="27"/>
        <v>39883184.849999994</v>
      </c>
      <c r="H87" s="33">
        <f t="shared" si="27"/>
        <v>42949000</v>
      </c>
      <c r="I87" s="33">
        <f t="shared" si="27"/>
        <v>48636000</v>
      </c>
      <c r="J87" s="33">
        <f>SUM(J79:J86)</f>
        <v>47636000</v>
      </c>
      <c r="K87" s="33">
        <f t="shared" si="27"/>
        <v>43922000</v>
      </c>
      <c r="L87" s="33">
        <f t="shared" si="27"/>
        <v>3714000</v>
      </c>
      <c r="M87" s="33">
        <f t="shared" si="27"/>
        <v>49694000</v>
      </c>
      <c r="N87" s="33">
        <f t="shared" si="27"/>
        <v>49694000</v>
      </c>
      <c r="O87" s="33">
        <f t="shared" si="27"/>
        <v>47372000</v>
      </c>
      <c r="P87" s="33">
        <f t="shared" si="27"/>
        <v>2322000</v>
      </c>
      <c r="Q87" s="16"/>
    </row>
    <row r="88" spans="1:17" hidden="1" outlineLevel="1" x14ac:dyDescent="0.25">
      <c r="A88" s="1" t="s">
        <v>23</v>
      </c>
      <c r="B88" s="14">
        <v>10015</v>
      </c>
      <c r="C88" s="14" t="s">
        <v>197</v>
      </c>
      <c r="D88" s="14" t="s">
        <v>22</v>
      </c>
      <c r="E88" s="15">
        <v>0</v>
      </c>
      <c r="F88" s="15">
        <v>141810</v>
      </c>
      <c r="G88" s="15">
        <v>11406</v>
      </c>
      <c r="H88" s="15">
        <v>289000</v>
      </c>
      <c r="I88" s="15">
        <v>10000</v>
      </c>
      <c r="J88" s="15">
        <f t="shared" ref="J88:J119" si="28">+K88+L88</f>
        <v>10000</v>
      </c>
      <c r="K88" s="15">
        <v>0</v>
      </c>
      <c r="L88" s="15">
        <f t="shared" ref="L88:L119" si="29">+I88-K88</f>
        <v>10000</v>
      </c>
      <c r="M88" s="15">
        <v>200000</v>
      </c>
      <c r="N88" s="15">
        <f>+M88</f>
        <v>200000</v>
      </c>
      <c r="O88" s="15">
        <v>0</v>
      </c>
      <c r="P88" s="15">
        <f t="shared" ref="P88:P119" si="30">+M88-O88</f>
        <v>200000</v>
      </c>
    </row>
    <row r="89" spans="1:17" hidden="1" outlineLevel="1" x14ac:dyDescent="0.25">
      <c r="B89" s="14">
        <v>10016</v>
      </c>
      <c r="C89" s="14" t="s">
        <v>198</v>
      </c>
      <c r="D89" s="14" t="s">
        <v>22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f t="shared" si="28"/>
        <v>0</v>
      </c>
      <c r="K89" s="15"/>
      <c r="L89" s="15">
        <f t="shared" si="29"/>
        <v>0</v>
      </c>
      <c r="M89" s="15">
        <v>0</v>
      </c>
      <c r="N89" s="15">
        <f t="shared" ref="N89:N119" si="31">+M89</f>
        <v>0</v>
      </c>
      <c r="O89" s="15"/>
      <c r="P89" s="15">
        <f t="shared" si="30"/>
        <v>0</v>
      </c>
    </row>
    <row r="90" spans="1:17" hidden="1" outlineLevel="1" x14ac:dyDescent="0.25">
      <c r="B90" s="14">
        <v>10031</v>
      </c>
      <c r="C90" s="14" t="s">
        <v>199</v>
      </c>
      <c r="D90" s="14" t="s">
        <v>22</v>
      </c>
      <c r="E90" s="15">
        <v>0</v>
      </c>
      <c r="F90" s="15">
        <v>2000</v>
      </c>
      <c r="G90" s="15">
        <v>0</v>
      </c>
      <c r="H90" s="15">
        <v>0</v>
      </c>
      <c r="I90" s="15">
        <v>0</v>
      </c>
      <c r="J90" s="15">
        <f t="shared" si="28"/>
        <v>0</v>
      </c>
      <c r="K90" s="15"/>
      <c r="L90" s="15">
        <f t="shared" si="29"/>
        <v>0</v>
      </c>
      <c r="M90" s="15">
        <v>0</v>
      </c>
      <c r="N90" s="15">
        <f t="shared" si="31"/>
        <v>0</v>
      </c>
      <c r="O90" s="15"/>
      <c r="P90" s="15">
        <f t="shared" si="30"/>
        <v>0</v>
      </c>
    </row>
    <row r="91" spans="1:17" hidden="1" outlineLevel="1" x14ac:dyDescent="0.25">
      <c r="A91" s="1" t="s">
        <v>23</v>
      </c>
      <c r="B91" s="14">
        <v>10040</v>
      </c>
      <c r="C91" s="14" t="s">
        <v>200</v>
      </c>
      <c r="D91" s="14" t="s">
        <v>53</v>
      </c>
      <c r="E91" s="15">
        <v>117361.25</v>
      </c>
      <c r="F91" s="15">
        <v>125061.53999999998</v>
      </c>
      <c r="G91" s="15">
        <v>151475.69999999998</v>
      </c>
      <c r="H91" s="15">
        <v>200000</v>
      </c>
      <c r="I91" s="15">
        <v>200000</v>
      </c>
      <c r="J91" s="15">
        <f t="shared" si="28"/>
        <v>200000</v>
      </c>
      <c r="K91" s="15">
        <v>20000</v>
      </c>
      <c r="L91" s="15">
        <f t="shared" si="29"/>
        <v>180000</v>
      </c>
      <c r="M91" s="15">
        <v>200000</v>
      </c>
      <c r="N91" s="15">
        <f t="shared" si="31"/>
        <v>200000</v>
      </c>
      <c r="O91" s="15">
        <v>0</v>
      </c>
      <c r="P91" s="15">
        <f t="shared" si="30"/>
        <v>200000</v>
      </c>
      <c r="Q91" s="1" t="s">
        <v>87</v>
      </c>
    </row>
    <row r="92" spans="1:17" hidden="1" outlineLevel="1" x14ac:dyDescent="0.25">
      <c r="B92" s="14">
        <v>10049</v>
      </c>
      <c r="C92" s="14" t="s">
        <v>201</v>
      </c>
      <c r="D92" s="14" t="s">
        <v>22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f t="shared" si="28"/>
        <v>0</v>
      </c>
      <c r="K92" s="15"/>
      <c r="L92" s="15">
        <f t="shared" si="29"/>
        <v>0</v>
      </c>
      <c r="M92" s="15">
        <v>0</v>
      </c>
      <c r="N92" s="15">
        <f t="shared" si="31"/>
        <v>0</v>
      </c>
      <c r="O92" s="15"/>
      <c r="P92" s="15">
        <f t="shared" si="30"/>
        <v>0</v>
      </c>
    </row>
    <row r="93" spans="1:17" hidden="1" outlineLevel="1" x14ac:dyDescent="0.25">
      <c r="A93" s="1" t="s">
        <v>49</v>
      </c>
      <c r="B93" s="14">
        <v>10051</v>
      </c>
      <c r="C93" s="14" t="s">
        <v>202</v>
      </c>
      <c r="D93" s="14" t="s">
        <v>22</v>
      </c>
      <c r="E93" s="15">
        <v>6048</v>
      </c>
      <c r="F93" s="15">
        <v>1375</v>
      </c>
      <c r="G93" s="15">
        <v>12218</v>
      </c>
      <c r="H93" s="15">
        <v>5000</v>
      </c>
      <c r="I93" s="15">
        <v>10000</v>
      </c>
      <c r="J93" s="15">
        <f t="shared" si="28"/>
        <v>10000</v>
      </c>
      <c r="K93" s="15">
        <v>0</v>
      </c>
      <c r="L93" s="15">
        <f t="shared" si="29"/>
        <v>10000</v>
      </c>
      <c r="M93" s="15">
        <v>10000</v>
      </c>
      <c r="N93" s="15">
        <f t="shared" si="31"/>
        <v>10000</v>
      </c>
      <c r="O93" s="15">
        <v>0</v>
      </c>
      <c r="P93" s="15">
        <f t="shared" si="30"/>
        <v>10000</v>
      </c>
    </row>
    <row r="94" spans="1:17" hidden="1" outlineLevel="1" x14ac:dyDescent="0.25">
      <c r="A94" s="1" t="s">
        <v>23</v>
      </c>
      <c r="B94" s="14">
        <v>10053</v>
      </c>
      <c r="C94" s="14" t="s">
        <v>203</v>
      </c>
      <c r="D94" s="14" t="s">
        <v>22</v>
      </c>
      <c r="E94" s="15">
        <v>13297.25</v>
      </c>
      <c r="F94" s="15">
        <v>3334.69</v>
      </c>
      <c r="G94" s="15">
        <v>3632.75</v>
      </c>
      <c r="H94" s="15">
        <v>5000</v>
      </c>
      <c r="I94" s="15">
        <v>10000</v>
      </c>
      <c r="J94" s="15">
        <f t="shared" si="28"/>
        <v>10000</v>
      </c>
      <c r="K94" s="15">
        <v>0</v>
      </c>
      <c r="L94" s="15">
        <f t="shared" si="29"/>
        <v>10000</v>
      </c>
      <c r="M94" s="15">
        <v>10000</v>
      </c>
      <c r="N94" s="15">
        <f t="shared" si="31"/>
        <v>10000</v>
      </c>
      <c r="O94" s="15">
        <v>0</v>
      </c>
      <c r="P94" s="15">
        <f t="shared" si="30"/>
        <v>10000</v>
      </c>
    </row>
    <row r="95" spans="1:17" hidden="1" outlineLevel="1" x14ac:dyDescent="0.25">
      <c r="B95" s="14">
        <v>10055</v>
      </c>
      <c r="C95" s="14" t="s">
        <v>173</v>
      </c>
      <c r="D95" s="14" t="s">
        <v>22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f t="shared" si="28"/>
        <v>0</v>
      </c>
      <c r="K95" s="15"/>
      <c r="L95" s="15">
        <f t="shared" si="29"/>
        <v>0</v>
      </c>
      <c r="M95" s="15">
        <v>0</v>
      </c>
      <c r="N95" s="15">
        <f t="shared" si="31"/>
        <v>0</v>
      </c>
      <c r="O95" s="15"/>
      <c r="P95" s="15">
        <f t="shared" si="30"/>
        <v>0</v>
      </c>
    </row>
    <row r="96" spans="1:17" hidden="1" outlineLevel="1" x14ac:dyDescent="0.25">
      <c r="B96" s="14">
        <v>10062</v>
      </c>
      <c r="C96" s="14" t="s">
        <v>204</v>
      </c>
      <c r="D96" s="14" t="s">
        <v>22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f t="shared" si="28"/>
        <v>0</v>
      </c>
      <c r="K96" s="15"/>
      <c r="L96" s="15">
        <f t="shared" si="29"/>
        <v>0</v>
      </c>
      <c r="M96" s="15">
        <v>0</v>
      </c>
      <c r="N96" s="15">
        <f t="shared" si="31"/>
        <v>0</v>
      </c>
      <c r="O96" s="15"/>
      <c r="P96" s="15">
        <f t="shared" si="30"/>
        <v>0</v>
      </c>
    </row>
    <row r="97" spans="1:17" hidden="1" outlineLevel="1" x14ac:dyDescent="0.25">
      <c r="A97" s="1" t="s">
        <v>30</v>
      </c>
      <c r="B97" s="14">
        <v>10063</v>
      </c>
      <c r="C97" s="14" t="s">
        <v>205</v>
      </c>
      <c r="D97" s="14" t="s">
        <v>22</v>
      </c>
      <c r="E97" s="15">
        <v>63382.68</v>
      </c>
      <c r="F97" s="15">
        <v>5317.6</v>
      </c>
      <c r="G97" s="15">
        <v>59520.560000000005</v>
      </c>
      <c r="H97" s="15">
        <v>120000</v>
      </c>
      <c r="I97" s="15">
        <v>50000</v>
      </c>
      <c r="J97" s="15">
        <f t="shared" si="28"/>
        <v>50000</v>
      </c>
      <c r="K97" s="15">
        <v>0</v>
      </c>
      <c r="L97" s="15">
        <f t="shared" si="29"/>
        <v>50000</v>
      </c>
      <c r="M97" s="15">
        <v>50000</v>
      </c>
      <c r="N97" s="15">
        <f t="shared" si="31"/>
        <v>50000</v>
      </c>
      <c r="O97" s="15">
        <v>0</v>
      </c>
      <c r="P97" s="15">
        <f t="shared" si="30"/>
        <v>50000</v>
      </c>
      <c r="Q97" s="1" t="s">
        <v>88</v>
      </c>
    </row>
    <row r="98" spans="1:17" hidden="1" outlineLevel="1" x14ac:dyDescent="0.25">
      <c r="A98" s="1" t="s">
        <v>23</v>
      </c>
      <c r="B98" s="14">
        <v>10065</v>
      </c>
      <c r="C98" s="14" t="s">
        <v>206</v>
      </c>
      <c r="D98" s="14" t="s">
        <v>22</v>
      </c>
      <c r="E98" s="15">
        <v>44055.02</v>
      </c>
      <c r="F98" s="15">
        <v>54218.75</v>
      </c>
      <c r="G98" s="15">
        <v>26187.5</v>
      </c>
      <c r="H98" s="15">
        <v>20000</v>
      </c>
      <c r="I98" s="15">
        <v>30000</v>
      </c>
      <c r="J98" s="15">
        <f t="shared" si="28"/>
        <v>30000</v>
      </c>
      <c r="K98" s="15">
        <v>0</v>
      </c>
      <c r="L98" s="15">
        <f t="shared" si="29"/>
        <v>30000</v>
      </c>
      <c r="M98" s="15">
        <v>50000</v>
      </c>
      <c r="N98" s="15">
        <f t="shared" si="31"/>
        <v>50000</v>
      </c>
      <c r="O98" s="15">
        <v>0</v>
      </c>
      <c r="P98" s="15">
        <f t="shared" si="30"/>
        <v>50000</v>
      </c>
      <c r="Q98" s="1" t="s">
        <v>89</v>
      </c>
    </row>
    <row r="99" spans="1:17" hidden="1" outlineLevel="1" x14ac:dyDescent="0.25">
      <c r="B99" s="14">
        <v>10071</v>
      </c>
      <c r="C99" s="14" t="s">
        <v>207</v>
      </c>
      <c r="D99" s="14" t="s">
        <v>22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f t="shared" si="28"/>
        <v>0</v>
      </c>
      <c r="K99" s="15"/>
      <c r="L99" s="15">
        <f t="shared" si="29"/>
        <v>0</v>
      </c>
      <c r="M99" s="15">
        <v>0</v>
      </c>
      <c r="N99" s="15">
        <f t="shared" si="31"/>
        <v>0</v>
      </c>
      <c r="O99" s="15"/>
      <c r="P99" s="15">
        <f t="shared" si="30"/>
        <v>0</v>
      </c>
    </row>
    <row r="100" spans="1:17" hidden="1" outlineLevel="1" x14ac:dyDescent="0.25">
      <c r="A100" s="1" t="s">
        <v>15</v>
      </c>
      <c r="B100" s="14">
        <v>15011</v>
      </c>
      <c r="C100" s="14" t="s">
        <v>208</v>
      </c>
      <c r="D100" s="14" t="s">
        <v>53</v>
      </c>
      <c r="E100" s="15">
        <v>2503795.3200000003</v>
      </c>
      <c r="F100" s="15">
        <v>2018515.9500000002</v>
      </c>
      <c r="G100" s="15">
        <v>1714619.7900000003</v>
      </c>
      <c r="H100" s="15">
        <v>2060000</v>
      </c>
      <c r="I100" s="15">
        <v>2000000</v>
      </c>
      <c r="J100" s="15">
        <f t="shared" si="28"/>
        <v>2000000</v>
      </c>
      <c r="K100" s="15">
        <v>125000</v>
      </c>
      <c r="L100" s="15">
        <f t="shared" si="29"/>
        <v>1875000</v>
      </c>
      <c r="M100" s="15">
        <v>2000000</v>
      </c>
      <c r="N100" s="15">
        <f t="shared" si="31"/>
        <v>2000000</v>
      </c>
      <c r="O100" s="15"/>
      <c r="P100" s="15">
        <f t="shared" si="30"/>
        <v>2000000</v>
      </c>
      <c r="Q100" s="16"/>
    </row>
    <row r="101" spans="1:17" hidden="1" outlineLevel="1" x14ac:dyDescent="0.25">
      <c r="B101" s="14">
        <v>15015</v>
      </c>
      <c r="C101" s="14" t="s">
        <v>209</v>
      </c>
      <c r="D101" s="14" t="s">
        <v>22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f t="shared" si="28"/>
        <v>0</v>
      </c>
      <c r="K101" s="15"/>
      <c r="L101" s="15">
        <f t="shared" si="29"/>
        <v>0</v>
      </c>
      <c r="M101" s="15">
        <v>0</v>
      </c>
      <c r="N101" s="15">
        <f t="shared" si="31"/>
        <v>0</v>
      </c>
      <c r="O101" s="15"/>
      <c r="P101" s="15">
        <f t="shared" si="30"/>
        <v>0</v>
      </c>
      <c r="Q101" s="16"/>
    </row>
    <row r="102" spans="1:17" hidden="1" outlineLevel="1" x14ac:dyDescent="0.25">
      <c r="A102" s="1" t="s">
        <v>38</v>
      </c>
      <c r="B102" s="14">
        <v>50052</v>
      </c>
      <c r="C102" s="14" t="s">
        <v>210</v>
      </c>
      <c r="D102" s="14" t="s">
        <v>22</v>
      </c>
      <c r="E102" s="15">
        <v>7016.9699999999993</v>
      </c>
      <c r="F102" s="15">
        <v>143446.73000000001</v>
      </c>
      <c r="G102" s="15">
        <v>17482</v>
      </c>
      <c r="H102" s="15">
        <v>0</v>
      </c>
      <c r="I102" s="15">
        <v>20000</v>
      </c>
      <c r="J102" s="15">
        <f t="shared" si="28"/>
        <v>20000</v>
      </c>
      <c r="K102" s="15">
        <v>0</v>
      </c>
      <c r="L102" s="15">
        <f t="shared" si="29"/>
        <v>20000</v>
      </c>
      <c r="M102" s="15">
        <v>20000</v>
      </c>
      <c r="N102" s="15">
        <f t="shared" si="31"/>
        <v>20000</v>
      </c>
      <c r="O102" s="15">
        <v>0</v>
      </c>
      <c r="P102" s="15">
        <f t="shared" si="30"/>
        <v>20000</v>
      </c>
      <c r="Q102" s="16"/>
    </row>
    <row r="103" spans="1:17" hidden="1" outlineLevel="1" x14ac:dyDescent="0.25">
      <c r="A103" s="1" t="s">
        <v>49</v>
      </c>
      <c r="B103" s="14">
        <v>50060</v>
      </c>
      <c r="C103" s="14" t="s">
        <v>211</v>
      </c>
      <c r="D103" s="14" t="s">
        <v>22</v>
      </c>
      <c r="E103" s="15">
        <v>-27062.000000000007</v>
      </c>
      <c r="F103" s="15">
        <v>2352.3999999999987</v>
      </c>
      <c r="G103" s="15">
        <v>-13863.249999999998</v>
      </c>
      <c r="H103" s="15">
        <v>0</v>
      </c>
      <c r="I103" s="15">
        <v>0</v>
      </c>
      <c r="J103" s="15">
        <f t="shared" si="28"/>
        <v>0</v>
      </c>
      <c r="K103" s="15"/>
      <c r="L103" s="15">
        <f t="shared" si="29"/>
        <v>0</v>
      </c>
      <c r="M103" s="15">
        <v>0</v>
      </c>
      <c r="N103" s="15">
        <f t="shared" si="31"/>
        <v>0</v>
      </c>
      <c r="O103" s="15"/>
      <c r="P103" s="15">
        <f t="shared" si="30"/>
        <v>0</v>
      </c>
      <c r="Q103" s="16"/>
    </row>
    <row r="104" spans="1:17" hidden="1" outlineLevel="1" x14ac:dyDescent="0.25">
      <c r="A104" s="1" t="s">
        <v>38</v>
      </c>
      <c r="B104" s="14">
        <v>50065</v>
      </c>
      <c r="C104" s="14" t="s">
        <v>212</v>
      </c>
      <c r="D104" s="14" t="s">
        <v>53</v>
      </c>
      <c r="E104" s="15">
        <v>5525</v>
      </c>
      <c r="F104" s="15">
        <v>15278.75</v>
      </c>
      <c r="G104" s="15">
        <v>5862.5</v>
      </c>
      <c r="H104" s="15">
        <v>6000</v>
      </c>
      <c r="I104" s="15">
        <v>6000</v>
      </c>
      <c r="J104" s="15">
        <f t="shared" si="28"/>
        <v>6000</v>
      </c>
      <c r="K104" s="15"/>
      <c r="L104" s="15">
        <f t="shared" si="29"/>
        <v>6000</v>
      </c>
      <c r="M104" s="15">
        <v>6000</v>
      </c>
      <c r="N104" s="15">
        <f t="shared" si="31"/>
        <v>6000</v>
      </c>
      <c r="O104" s="15"/>
      <c r="P104" s="15">
        <f t="shared" si="30"/>
        <v>6000</v>
      </c>
      <c r="Q104" s="16"/>
    </row>
    <row r="105" spans="1:17" hidden="1" outlineLevel="1" x14ac:dyDescent="0.25">
      <c r="A105" s="1" t="s">
        <v>49</v>
      </c>
      <c r="B105" s="14">
        <v>50075</v>
      </c>
      <c r="C105" s="14" t="s">
        <v>207</v>
      </c>
      <c r="D105" s="14" t="s">
        <v>22</v>
      </c>
      <c r="E105" s="15">
        <v>3857.24</v>
      </c>
      <c r="F105" s="15">
        <v>9105.4700000000012</v>
      </c>
      <c r="G105" s="15">
        <v>8995.08</v>
      </c>
      <c r="H105" s="15">
        <v>10000</v>
      </c>
      <c r="I105" s="15">
        <v>30000</v>
      </c>
      <c r="J105" s="15">
        <f t="shared" si="28"/>
        <v>30000</v>
      </c>
      <c r="K105" s="15"/>
      <c r="L105" s="15">
        <f t="shared" si="29"/>
        <v>30000</v>
      </c>
      <c r="M105" s="15">
        <v>30000</v>
      </c>
      <c r="N105" s="15">
        <f t="shared" si="31"/>
        <v>30000</v>
      </c>
      <c r="O105" s="15"/>
      <c r="P105" s="15">
        <f t="shared" si="30"/>
        <v>30000</v>
      </c>
      <c r="Q105" s="16" t="s">
        <v>90</v>
      </c>
    </row>
    <row r="106" spans="1:17" hidden="1" outlineLevel="1" x14ac:dyDescent="0.25">
      <c r="A106" s="1" t="s">
        <v>49</v>
      </c>
      <c r="B106" s="14">
        <v>50077</v>
      </c>
      <c r="C106" s="14" t="s">
        <v>213</v>
      </c>
      <c r="D106" s="14" t="s">
        <v>22</v>
      </c>
      <c r="E106" s="15">
        <v>204220.56</v>
      </c>
      <c r="F106" s="15">
        <v>96862</v>
      </c>
      <c r="G106" s="15">
        <v>226663.50999999998</v>
      </c>
      <c r="H106" s="15">
        <v>150000</v>
      </c>
      <c r="I106" s="15">
        <v>300000</v>
      </c>
      <c r="J106" s="15">
        <f t="shared" si="28"/>
        <v>300000</v>
      </c>
      <c r="K106" s="15"/>
      <c r="L106" s="15">
        <f t="shared" si="29"/>
        <v>300000</v>
      </c>
      <c r="M106" s="15">
        <v>300000</v>
      </c>
      <c r="N106" s="15">
        <f t="shared" si="31"/>
        <v>300000</v>
      </c>
      <c r="O106" s="15"/>
      <c r="P106" s="15">
        <f t="shared" si="30"/>
        <v>300000</v>
      </c>
      <c r="Q106" s="16" t="s">
        <v>91</v>
      </c>
    </row>
    <row r="107" spans="1:17" hidden="1" outlineLevel="1" x14ac:dyDescent="0.25">
      <c r="A107" s="1" t="s">
        <v>62</v>
      </c>
      <c r="B107" s="14">
        <v>60011</v>
      </c>
      <c r="C107" s="14" t="s">
        <v>214</v>
      </c>
      <c r="D107" s="14" t="s">
        <v>22</v>
      </c>
      <c r="E107" s="15">
        <v>8210</v>
      </c>
      <c r="F107" s="15">
        <v>39776.21</v>
      </c>
      <c r="G107" s="15">
        <v>8872.2999999999993</v>
      </c>
      <c r="H107" s="15">
        <v>0</v>
      </c>
      <c r="I107" s="15">
        <v>0</v>
      </c>
      <c r="J107" s="15">
        <f t="shared" si="28"/>
        <v>0</v>
      </c>
      <c r="K107" s="15"/>
      <c r="L107" s="15">
        <f t="shared" si="29"/>
        <v>0</v>
      </c>
      <c r="M107" s="15">
        <v>0</v>
      </c>
      <c r="N107" s="15">
        <f t="shared" si="31"/>
        <v>0</v>
      </c>
      <c r="O107" s="15"/>
      <c r="P107" s="15">
        <f t="shared" si="30"/>
        <v>0</v>
      </c>
      <c r="Q107" s="16"/>
    </row>
    <row r="108" spans="1:17" hidden="1" outlineLevel="1" x14ac:dyDescent="0.25">
      <c r="B108" s="14">
        <v>60013</v>
      </c>
      <c r="C108" s="14" t="s">
        <v>215</v>
      </c>
      <c r="D108" s="14" t="s">
        <v>22</v>
      </c>
      <c r="E108" s="15">
        <v>1301</v>
      </c>
      <c r="F108" s="15">
        <v>0</v>
      </c>
      <c r="G108" s="15">
        <v>0</v>
      </c>
      <c r="H108" s="15">
        <v>0</v>
      </c>
      <c r="I108" s="15">
        <v>0</v>
      </c>
      <c r="J108" s="15">
        <f t="shared" si="28"/>
        <v>0</v>
      </c>
      <c r="K108" s="15"/>
      <c r="L108" s="15">
        <f t="shared" si="29"/>
        <v>0</v>
      </c>
      <c r="M108" s="15">
        <v>0</v>
      </c>
      <c r="N108" s="15">
        <f t="shared" si="31"/>
        <v>0</v>
      </c>
      <c r="O108" s="15"/>
      <c r="P108" s="15">
        <f t="shared" si="30"/>
        <v>0</v>
      </c>
      <c r="Q108" s="16"/>
    </row>
    <row r="109" spans="1:17" hidden="1" outlineLevel="1" x14ac:dyDescent="0.25">
      <c r="A109" s="1" t="s">
        <v>62</v>
      </c>
      <c r="B109" s="14">
        <v>60014</v>
      </c>
      <c r="C109" s="14" t="s">
        <v>216</v>
      </c>
      <c r="D109" s="14" t="s">
        <v>28</v>
      </c>
      <c r="E109" s="15">
        <v>30910.85</v>
      </c>
      <c r="F109" s="15">
        <v>46536.7</v>
      </c>
      <c r="G109" s="15">
        <v>20428.760000000002</v>
      </c>
      <c r="H109" s="15">
        <v>12200</v>
      </c>
      <c r="I109" s="15">
        <v>25000</v>
      </c>
      <c r="J109" s="15">
        <f t="shared" si="28"/>
        <v>25000</v>
      </c>
      <c r="K109" s="15">
        <v>15000</v>
      </c>
      <c r="L109" s="15">
        <f t="shared" si="29"/>
        <v>10000</v>
      </c>
      <c r="M109" s="15">
        <v>25000</v>
      </c>
      <c r="N109" s="15">
        <f t="shared" si="31"/>
        <v>25000</v>
      </c>
      <c r="O109" s="15">
        <v>15000</v>
      </c>
      <c r="P109" s="15">
        <f t="shared" si="30"/>
        <v>10000</v>
      </c>
      <c r="Q109" s="16"/>
    </row>
    <row r="110" spans="1:17" hidden="1" outlineLevel="1" x14ac:dyDescent="0.25">
      <c r="A110" s="1" t="s">
        <v>62</v>
      </c>
      <c r="B110" s="14">
        <v>60015</v>
      </c>
      <c r="C110" s="14" t="s">
        <v>217</v>
      </c>
      <c r="D110" s="14" t="s">
        <v>53</v>
      </c>
      <c r="E110" s="15">
        <v>7372.3</v>
      </c>
      <c r="F110" s="15">
        <v>5240.42</v>
      </c>
      <c r="G110" s="15">
        <v>3363</v>
      </c>
      <c r="H110" s="15">
        <v>1500</v>
      </c>
      <c r="I110" s="15">
        <v>5000</v>
      </c>
      <c r="J110" s="15">
        <f t="shared" si="28"/>
        <v>5000</v>
      </c>
      <c r="K110" s="15">
        <f>+I110</f>
        <v>5000</v>
      </c>
      <c r="L110" s="15">
        <f t="shared" si="29"/>
        <v>0</v>
      </c>
      <c r="M110" s="15">
        <v>5000</v>
      </c>
      <c r="N110" s="15">
        <f t="shared" si="31"/>
        <v>5000</v>
      </c>
      <c r="O110" s="15">
        <f>+M110</f>
        <v>5000</v>
      </c>
      <c r="P110" s="15">
        <f t="shared" si="30"/>
        <v>0</v>
      </c>
      <c r="Q110" s="16"/>
    </row>
    <row r="111" spans="1:17" hidden="1" outlineLevel="1" x14ac:dyDescent="0.25">
      <c r="B111" s="14">
        <v>60017</v>
      </c>
      <c r="C111" s="14" t="s">
        <v>218</v>
      </c>
      <c r="D111" s="14" t="s">
        <v>22</v>
      </c>
      <c r="E111" s="15">
        <v>0</v>
      </c>
      <c r="F111" s="15">
        <v>10280</v>
      </c>
      <c r="G111" s="15">
        <v>0</v>
      </c>
      <c r="H111" s="15">
        <v>0</v>
      </c>
      <c r="I111" s="15">
        <v>0</v>
      </c>
      <c r="J111" s="15">
        <f t="shared" si="28"/>
        <v>0</v>
      </c>
      <c r="K111" s="15"/>
      <c r="L111" s="15">
        <f t="shared" si="29"/>
        <v>0</v>
      </c>
      <c r="M111" s="15">
        <v>0</v>
      </c>
      <c r="N111" s="15">
        <f t="shared" si="31"/>
        <v>0</v>
      </c>
      <c r="O111" s="15"/>
      <c r="P111" s="15">
        <f t="shared" si="30"/>
        <v>0</v>
      </c>
      <c r="Q111" s="16"/>
    </row>
    <row r="112" spans="1:17" hidden="1" outlineLevel="1" x14ac:dyDescent="0.25">
      <c r="A112" s="1" t="s">
        <v>62</v>
      </c>
      <c r="B112" s="14">
        <v>60018</v>
      </c>
      <c r="C112" s="14" t="s">
        <v>219</v>
      </c>
      <c r="D112" s="14" t="s">
        <v>53</v>
      </c>
      <c r="E112" s="15">
        <v>20874.159999999974</v>
      </c>
      <c r="F112" s="15">
        <v>28449.120000000003</v>
      </c>
      <c r="G112" s="15">
        <v>158092.51</v>
      </c>
      <c r="H112" s="15">
        <v>10000</v>
      </c>
      <c r="I112" s="15">
        <v>30000</v>
      </c>
      <c r="J112" s="15">
        <f t="shared" si="28"/>
        <v>30000</v>
      </c>
      <c r="K112" s="15">
        <f>+I112</f>
        <v>30000</v>
      </c>
      <c r="L112" s="15">
        <f t="shared" si="29"/>
        <v>0</v>
      </c>
      <c r="M112" s="15">
        <v>30000</v>
      </c>
      <c r="N112" s="15">
        <f t="shared" si="31"/>
        <v>30000</v>
      </c>
      <c r="O112" s="15">
        <f>+M112</f>
        <v>30000</v>
      </c>
      <c r="P112" s="15">
        <f t="shared" si="30"/>
        <v>0</v>
      </c>
      <c r="Q112" s="16"/>
    </row>
    <row r="113" spans="1:18" hidden="1" outlineLevel="1" x14ac:dyDescent="0.25">
      <c r="A113" s="1" t="s">
        <v>62</v>
      </c>
      <c r="B113" s="14">
        <v>60021</v>
      </c>
      <c r="C113" s="14" t="s">
        <v>220</v>
      </c>
      <c r="D113" s="14" t="s">
        <v>22</v>
      </c>
      <c r="E113" s="15">
        <v>1983.49</v>
      </c>
      <c r="F113" s="15">
        <v>9677.5</v>
      </c>
      <c r="G113" s="15">
        <v>3097.91</v>
      </c>
      <c r="H113" s="15">
        <v>18000</v>
      </c>
      <c r="I113" s="15">
        <v>25000</v>
      </c>
      <c r="J113" s="15">
        <f t="shared" si="28"/>
        <v>25000</v>
      </c>
      <c r="K113" s="15"/>
      <c r="L113" s="15">
        <f t="shared" si="29"/>
        <v>25000</v>
      </c>
      <c r="M113" s="15">
        <v>25000</v>
      </c>
      <c r="N113" s="15">
        <f t="shared" si="31"/>
        <v>25000</v>
      </c>
      <c r="O113" s="15"/>
      <c r="P113" s="15">
        <f t="shared" si="30"/>
        <v>25000</v>
      </c>
      <c r="Q113" s="16"/>
    </row>
    <row r="114" spans="1:18" hidden="1" outlineLevel="1" x14ac:dyDescent="0.25">
      <c r="B114" s="14">
        <v>60022</v>
      </c>
      <c r="C114" s="14" t="s">
        <v>221</v>
      </c>
      <c r="D114" s="14" t="s">
        <v>22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f t="shared" si="28"/>
        <v>0</v>
      </c>
      <c r="K114" s="15"/>
      <c r="L114" s="15">
        <f t="shared" si="29"/>
        <v>0</v>
      </c>
      <c r="M114" s="15">
        <v>0</v>
      </c>
      <c r="N114" s="15">
        <f t="shared" si="31"/>
        <v>0</v>
      </c>
      <c r="O114" s="15"/>
      <c r="P114" s="15">
        <f t="shared" si="30"/>
        <v>0</v>
      </c>
      <c r="Q114" s="16"/>
    </row>
    <row r="115" spans="1:18" hidden="1" outlineLevel="1" x14ac:dyDescent="0.25">
      <c r="B115" s="14">
        <v>60024</v>
      </c>
      <c r="C115" s="14" t="s">
        <v>213</v>
      </c>
      <c r="D115" s="14" t="s">
        <v>22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f t="shared" si="28"/>
        <v>0</v>
      </c>
      <c r="K115" s="15"/>
      <c r="L115" s="15">
        <f t="shared" si="29"/>
        <v>0</v>
      </c>
      <c r="M115" s="15">
        <v>0</v>
      </c>
      <c r="N115" s="15">
        <f t="shared" si="31"/>
        <v>0</v>
      </c>
      <c r="O115" s="15"/>
      <c r="P115" s="15">
        <f t="shared" si="30"/>
        <v>0</v>
      </c>
      <c r="Q115" s="16"/>
    </row>
    <row r="116" spans="1:18" hidden="1" outlineLevel="1" x14ac:dyDescent="0.25">
      <c r="A116" s="1" t="s">
        <v>62</v>
      </c>
      <c r="B116" s="14">
        <v>60025</v>
      </c>
      <c r="C116" s="14" t="s">
        <v>222</v>
      </c>
      <c r="D116" s="14" t="s">
        <v>28</v>
      </c>
      <c r="E116" s="15">
        <v>47250</v>
      </c>
      <c r="F116" s="15">
        <v>109375</v>
      </c>
      <c r="G116" s="15">
        <v>116875</v>
      </c>
      <c r="H116" s="15">
        <v>150000</v>
      </c>
      <c r="I116" s="15">
        <v>100000</v>
      </c>
      <c r="J116" s="15">
        <f t="shared" si="28"/>
        <v>100000</v>
      </c>
      <c r="K116" s="15"/>
      <c r="L116" s="15">
        <f t="shared" si="29"/>
        <v>100000</v>
      </c>
      <c r="M116" s="15">
        <v>100000</v>
      </c>
      <c r="N116" s="15">
        <f t="shared" si="31"/>
        <v>100000</v>
      </c>
      <c r="O116" s="15"/>
      <c r="P116" s="15">
        <f t="shared" si="30"/>
        <v>100000</v>
      </c>
      <c r="Q116" s="16" t="s">
        <v>92</v>
      </c>
    </row>
    <row r="117" spans="1:18" hidden="1" outlineLevel="1" x14ac:dyDescent="0.25">
      <c r="A117" s="1" t="s">
        <v>93</v>
      </c>
      <c r="B117" s="14">
        <v>60030</v>
      </c>
      <c r="C117" s="14" t="s">
        <v>223</v>
      </c>
      <c r="D117" s="14" t="s">
        <v>53</v>
      </c>
      <c r="E117" s="15">
        <v>184366.6</v>
      </c>
      <c r="F117" s="15">
        <v>163425.16</v>
      </c>
      <c r="G117" s="15">
        <v>148300.12000000002</v>
      </c>
      <c r="H117" s="15">
        <v>60000</v>
      </c>
      <c r="I117" s="15">
        <v>150000</v>
      </c>
      <c r="J117" s="15">
        <f t="shared" si="28"/>
        <v>150000</v>
      </c>
      <c r="K117" s="15"/>
      <c r="L117" s="15">
        <f t="shared" si="29"/>
        <v>150000</v>
      </c>
      <c r="M117" s="15">
        <v>150000</v>
      </c>
      <c r="N117" s="15">
        <f t="shared" si="31"/>
        <v>150000</v>
      </c>
      <c r="O117" s="15"/>
      <c r="P117" s="15">
        <f t="shared" si="30"/>
        <v>150000</v>
      </c>
      <c r="Q117" s="16" t="s">
        <v>94</v>
      </c>
    </row>
    <row r="118" spans="1:18" hidden="1" outlineLevel="1" x14ac:dyDescent="0.25">
      <c r="A118" s="1" t="s">
        <v>93</v>
      </c>
      <c r="B118" s="14">
        <v>60037</v>
      </c>
      <c r="C118" s="14" t="s">
        <v>224</v>
      </c>
      <c r="D118" s="14" t="s">
        <v>26</v>
      </c>
      <c r="E118" s="15">
        <v>2500</v>
      </c>
      <c r="F118" s="15">
        <v>47542.999999999993</v>
      </c>
      <c r="G118" s="15">
        <v>41242.080000000009</v>
      </c>
      <c r="H118" s="15">
        <v>110000</v>
      </c>
      <c r="I118" s="15">
        <v>110000</v>
      </c>
      <c r="J118" s="15">
        <f t="shared" si="28"/>
        <v>110000</v>
      </c>
      <c r="K118" s="15"/>
      <c r="L118" s="15">
        <f t="shared" si="29"/>
        <v>110000</v>
      </c>
      <c r="M118" s="15">
        <v>110000</v>
      </c>
      <c r="N118" s="15">
        <f t="shared" si="31"/>
        <v>110000</v>
      </c>
      <c r="O118" s="15"/>
      <c r="P118" s="15">
        <f t="shared" si="30"/>
        <v>110000</v>
      </c>
      <c r="Q118" s="16" t="s">
        <v>95</v>
      </c>
    </row>
    <row r="119" spans="1:18" hidden="1" outlineLevel="1" x14ac:dyDescent="0.25">
      <c r="B119" s="14">
        <v>60043</v>
      </c>
      <c r="C119" s="14" t="s">
        <v>225</v>
      </c>
      <c r="D119" s="14" t="s">
        <v>22</v>
      </c>
      <c r="E119" s="15">
        <v>4348</v>
      </c>
      <c r="F119" s="15">
        <v>0</v>
      </c>
      <c r="G119" s="15">
        <v>0</v>
      </c>
      <c r="H119" s="15">
        <v>0</v>
      </c>
      <c r="I119" s="15">
        <v>0</v>
      </c>
      <c r="J119" s="15">
        <f t="shared" si="28"/>
        <v>0</v>
      </c>
      <c r="K119" s="15"/>
      <c r="L119" s="15">
        <f t="shared" si="29"/>
        <v>0</v>
      </c>
      <c r="M119" s="15">
        <v>0</v>
      </c>
      <c r="N119" s="15">
        <f t="shared" si="31"/>
        <v>0</v>
      </c>
      <c r="O119" s="15"/>
      <c r="P119" s="15">
        <f t="shared" si="30"/>
        <v>0</v>
      </c>
      <c r="Q119" s="16"/>
    </row>
    <row r="120" spans="1:18" hidden="1" outlineLevel="1" x14ac:dyDescent="0.25">
      <c r="B120" s="27"/>
      <c r="C120" s="28" t="s">
        <v>96</v>
      </c>
      <c r="D120" s="27"/>
      <c r="E120" s="29"/>
      <c r="F120" s="29"/>
      <c r="G120" s="29"/>
      <c r="H120" s="29"/>
      <c r="I120" s="29"/>
      <c r="J120" s="29">
        <f>-I121*0.2</f>
        <v>-622200</v>
      </c>
      <c r="K120" s="29"/>
      <c r="L120" s="29">
        <f>+J120</f>
        <v>-622200</v>
      </c>
      <c r="M120" s="29"/>
      <c r="N120" s="15">
        <f>-M121*0.2</f>
        <v>-664200</v>
      </c>
      <c r="O120" s="29"/>
      <c r="P120" s="15">
        <f>+N120</f>
        <v>-664200</v>
      </c>
      <c r="Q120" s="30">
        <f>+L120/(L121-L120)</f>
        <v>-0.21337448559670782</v>
      </c>
    </row>
    <row r="121" spans="1:18" collapsed="1" x14ac:dyDescent="0.25">
      <c r="B121" s="31" t="s">
        <v>97</v>
      </c>
      <c r="C121" s="32"/>
      <c r="D121" s="32"/>
      <c r="E121" s="33">
        <f t="shared" ref="E121:K121" si="32">SUM(E88:E119)</f>
        <v>3250613.6900000013</v>
      </c>
      <c r="F121" s="33">
        <f t="shared" si="32"/>
        <v>3078981.9900000007</v>
      </c>
      <c r="G121" s="33">
        <f t="shared" si="32"/>
        <v>2724471.8200000003</v>
      </c>
      <c r="H121" s="33">
        <f t="shared" si="32"/>
        <v>3226700</v>
      </c>
      <c r="I121" s="33">
        <f t="shared" si="32"/>
        <v>3111000</v>
      </c>
      <c r="J121" s="33">
        <f>SUM(J88:J120)</f>
        <v>2488800</v>
      </c>
      <c r="K121" s="33">
        <f t="shared" si="32"/>
        <v>195000</v>
      </c>
      <c r="L121" s="33">
        <f>SUM(L88:L120)</f>
        <v>2293800</v>
      </c>
      <c r="M121" s="33">
        <f t="shared" ref="M121:P121" si="33">SUM(M88:M120)</f>
        <v>3321000</v>
      </c>
      <c r="N121" s="33">
        <f t="shared" si="33"/>
        <v>2656800</v>
      </c>
      <c r="O121" s="33">
        <f t="shared" si="33"/>
        <v>50000</v>
      </c>
      <c r="P121" s="33">
        <f t="shared" si="33"/>
        <v>2606800</v>
      </c>
      <c r="Q121" s="16" t="s">
        <v>98</v>
      </c>
    </row>
    <row r="122" spans="1:18" hidden="1" outlineLevel="1" x14ac:dyDescent="0.25">
      <c r="B122" s="27">
        <v>10013</v>
      </c>
      <c r="C122" s="27" t="s">
        <v>226</v>
      </c>
      <c r="D122" s="27" t="s">
        <v>22</v>
      </c>
      <c r="E122" s="1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f t="shared" ref="J122:J136" si="34">+K122+L122</f>
        <v>0</v>
      </c>
      <c r="K122" s="29">
        <v>0</v>
      </c>
      <c r="L122" s="29">
        <f t="shared" ref="L122:L136" si="35">+I122-K122</f>
        <v>0</v>
      </c>
      <c r="M122" s="15">
        <v>0</v>
      </c>
      <c r="N122" s="29">
        <f>+M122</f>
        <v>0</v>
      </c>
      <c r="O122" s="29"/>
      <c r="P122" s="29">
        <f t="shared" ref="P122:P136" si="36">+M122-O122</f>
        <v>0</v>
      </c>
    </row>
    <row r="123" spans="1:18" hidden="1" outlineLevel="1" x14ac:dyDescent="0.25">
      <c r="B123" s="14">
        <v>10064</v>
      </c>
      <c r="C123" s="14" t="s">
        <v>227</v>
      </c>
      <c r="D123" s="14" t="s">
        <v>22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f t="shared" si="34"/>
        <v>0</v>
      </c>
      <c r="K123" s="15">
        <v>0</v>
      </c>
      <c r="L123" s="15">
        <f t="shared" si="35"/>
        <v>0</v>
      </c>
      <c r="M123" s="15">
        <v>0</v>
      </c>
      <c r="N123" s="29">
        <f t="shared" ref="N123:N136" si="37">+M123</f>
        <v>0</v>
      </c>
      <c r="O123" s="15"/>
      <c r="P123" s="15">
        <f t="shared" si="36"/>
        <v>0</v>
      </c>
    </row>
    <row r="124" spans="1:18" hidden="1" outlineLevel="1" x14ac:dyDescent="0.25">
      <c r="A124" s="1" t="s">
        <v>16</v>
      </c>
      <c r="B124" s="14">
        <v>50021</v>
      </c>
      <c r="C124" s="14" t="s">
        <v>228</v>
      </c>
      <c r="D124" s="14" t="s">
        <v>26</v>
      </c>
      <c r="E124" s="15">
        <v>2575484.0299999998</v>
      </c>
      <c r="F124" s="15">
        <v>2415961.0499999998</v>
      </c>
      <c r="G124" s="15">
        <v>2998566.14</v>
      </c>
      <c r="H124" s="15">
        <v>2418000</v>
      </c>
      <c r="I124" s="15">
        <v>2900000</v>
      </c>
      <c r="J124" s="15">
        <f t="shared" si="34"/>
        <v>2900000</v>
      </c>
      <c r="K124" s="15">
        <f>+(126000+1600+1250+1300+2800+2200+4000)*12+15500*4+(66000+64800)</f>
        <v>1862600</v>
      </c>
      <c r="L124" s="15">
        <f t="shared" si="35"/>
        <v>1037400</v>
      </c>
      <c r="M124" s="15">
        <v>2900000</v>
      </c>
      <c r="N124" s="29">
        <f t="shared" si="37"/>
        <v>2900000</v>
      </c>
      <c r="O124" s="15"/>
      <c r="P124" s="15">
        <f t="shared" si="36"/>
        <v>2900000</v>
      </c>
      <c r="Q124" s="16" t="s">
        <v>99</v>
      </c>
    </row>
    <row r="125" spans="1:18" hidden="1" outlineLevel="1" x14ac:dyDescent="0.25">
      <c r="B125" s="14">
        <v>50023</v>
      </c>
      <c r="C125" s="14" t="s">
        <v>229</v>
      </c>
      <c r="D125" s="14" t="s">
        <v>22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f t="shared" si="34"/>
        <v>0</v>
      </c>
      <c r="K125" s="15"/>
      <c r="L125" s="15">
        <f t="shared" si="35"/>
        <v>0</v>
      </c>
      <c r="M125" s="15">
        <v>0</v>
      </c>
      <c r="N125" s="29">
        <f t="shared" si="37"/>
        <v>0</v>
      </c>
      <c r="O125" s="15"/>
      <c r="P125" s="15">
        <f t="shared" si="36"/>
        <v>0</v>
      </c>
      <c r="Q125" s="16"/>
      <c r="R125" s="16"/>
    </row>
    <row r="126" spans="1:18" hidden="1" outlineLevel="1" x14ac:dyDescent="0.25">
      <c r="B126" s="14">
        <v>50024</v>
      </c>
      <c r="C126" s="14" t="s">
        <v>230</v>
      </c>
      <c r="D126" s="14" t="s">
        <v>22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f t="shared" si="34"/>
        <v>0</v>
      </c>
      <c r="K126" s="15"/>
      <c r="L126" s="15">
        <f t="shared" si="35"/>
        <v>0</v>
      </c>
      <c r="M126" s="15">
        <v>0</v>
      </c>
      <c r="N126" s="29">
        <f t="shared" si="37"/>
        <v>0</v>
      </c>
      <c r="O126" s="15"/>
      <c r="P126" s="15">
        <f t="shared" si="36"/>
        <v>0</v>
      </c>
      <c r="Q126" s="16"/>
    </row>
    <row r="127" spans="1:18" hidden="1" outlineLevel="1" x14ac:dyDescent="0.25">
      <c r="B127" s="14">
        <v>50059</v>
      </c>
      <c r="C127" s="14" t="s">
        <v>231</v>
      </c>
      <c r="D127" s="14" t="s">
        <v>22</v>
      </c>
      <c r="E127" s="15">
        <v>350190.72</v>
      </c>
      <c r="F127" s="15">
        <v>0</v>
      </c>
      <c r="G127" s="15">
        <v>0</v>
      </c>
      <c r="H127" s="15">
        <v>0</v>
      </c>
      <c r="I127" s="15">
        <v>0</v>
      </c>
      <c r="J127" s="15">
        <f t="shared" si="34"/>
        <v>0</v>
      </c>
      <c r="K127" s="15"/>
      <c r="L127" s="15">
        <f t="shared" si="35"/>
        <v>0</v>
      </c>
      <c r="M127" s="15">
        <v>0</v>
      </c>
      <c r="N127" s="29">
        <f t="shared" si="37"/>
        <v>0</v>
      </c>
      <c r="O127" s="15"/>
      <c r="P127" s="15">
        <f t="shared" si="36"/>
        <v>0</v>
      </c>
      <c r="Q127" s="16"/>
    </row>
    <row r="128" spans="1:18" hidden="1" outlineLevel="1" x14ac:dyDescent="0.25">
      <c r="B128" s="14">
        <v>50066</v>
      </c>
      <c r="C128" s="14" t="s">
        <v>232</v>
      </c>
      <c r="D128" s="14" t="s">
        <v>22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f t="shared" si="34"/>
        <v>0</v>
      </c>
      <c r="K128" s="15"/>
      <c r="L128" s="15">
        <f t="shared" si="35"/>
        <v>0</v>
      </c>
      <c r="M128" s="15">
        <v>0</v>
      </c>
      <c r="N128" s="29">
        <f t="shared" si="37"/>
        <v>0</v>
      </c>
      <c r="O128" s="15"/>
      <c r="P128" s="15">
        <f t="shared" si="36"/>
        <v>0</v>
      </c>
      <c r="Q128" s="16"/>
    </row>
    <row r="129" spans="1:18" hidden="1" outlineLevel="1" x14ac:dyDescent="0.25">
      <c r="B129" s="14">
        <v>50069</v>
      </c>
      <c r="C129" s="14" t="s">
        <v>233</v>
      </c>
      <c r="D129" s="14" t="s">
        <v>22</v>
      </c>
      <c r="E129" s="1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f t="shared" si="34"/>
        <v>0</v>
      </c>
      <c r="K129" s="15"/>
      <c r="L129" s="15">
        <f t="shared" si="35"/>
        <v>0</v>
      </c>
      <c r="M129" s="15">
        <v>0</v>
      </c>
      <c r="N129" s="29">
        <f t="shared" si="37"/>
        <v>0</v>
      </c>
      <c r="O129" s="15"/>
      <c r="P129" s="15">
        <f t="shared" si="36"/>
        <v>0</v>
      </c>
      <c r="Q129" s="16"/>
    </row>
    <row r="130" spans="1:18" hidden="1" outlineLevel="1" x14ac:dyDescent="0.25">
      <c r="B130" s="14">
        <v>50070</v>
      </c>
      <c r="C130" s="14" t="s">
        <v>226</v>
      </c>
      <c r="D130" s="14" t="s">
        <v>22</v>
      </c>
      <c r="E130" s="15">
        <v>10766.64</v>
      </c>
      <c r="F130" s="15">
        <v>0</v>
      </c>
      <c r="G130" s="15">
        <v>0</v>
      </c>
      <c r="H130" s="15">
        <v>0</v>
      </c>
      <c r="I130" s="15">
        <v>0</v>
      </c>
      <c r="J130" s="15">
        <f t="shared" si="34"/>
        <v>0</v>
      </c>
      <c r="K130" s="15"/>
      <c r="L130" s="15">
        <f t="shared" si="35"/>
        <v>0</v>
      </c>
      <c r="M130" s="15">
        <v>0</v>
      </c>
      <c r="N130" s="29">
        <f t="shared" si="37"/>
        <v>0</v>
      </c>
      <c r="O130" s="15"/>
      <c r="P130" s="15">
        <f t="shared" si="36"/>
        <v>0</v>
      </c>
      <c r="Q130" s="16"/>
    </row>
    <row r="131" spans="1:18" hidden="1" outlineLevel="1" x14ac:dyDescent="0.25">
      <c r="B131" s="14">
        <v>50073</v>
      </c>
      <c r="C131" s="14" t="s">
        <v>234</v>
      </c>
      <c r="D131" s="14" t="s">
        <v>22</v>
      </c>
      <c r="E131" s="15">
        <v>213174.36</v>
      </c>
      <c r="F131" s="15">
        <v>0</v>
      </c>
      <c r="G131" s="15">
        <v>0</v>
      </c>
      <c r="H131" s="15">
        <v>0</v>
      </c>
      <c r="I131" s="15">
        <v>0</v>
      </c>
      <c r="J131" s="15">
        <f t="shared" si="34"/>
        <v>0</v>
      </c>
      <c r="K131" s="15"/>
      <c r="L131" s="15">
        <f t="shared" si="35"/>
        <v>0</v>
      </c>
      <c r="M131" s="15">
        <v>0</v>
      </c>
      <c r="N131" s="29">
        <f t="shared" si="37"/>
        <v>0</v>
      </c>
      <c r="O131" s="15"/>
      <c r="P131" s="15">
        <f t="shared" si="36"/>
        <v>0</v>
      </c>
      <c r="Q131" s="16"/>
    </row>
    <row r="132" spans="1:18" hidden="1" outlineLevel="1" x14ac:dyDescent="0.25">
      <c r="A132" s="1" t="s">
        <v>49</v>
      </c>
      <c r="B132" s="14">
        <v>50076</v>
      </c>
      <c r="C132" s="14" t="s">
        <v>235</v>
      </c>
      <c r="D132" s="14" t="s">
        <v>26</v>
      </c>
      <c r="E132" s="15">
        <v>275071.86</v>
      </c>
      <c r="F132" s="15">
        <v>2376902.6999999997</v>
      </c>
      <c r="G132" s="15">
        <v>1777049.0300000003</v>
      </c>
      <c r="H132" s="15">
        <v>2000000</v>
      </c>
      <c r="I132" s="15">
        <v>2400000</v>
      </c>
      <c r="J132" s="15">
        <f t="shared" si="34"/>
        <v>2400000</v>
      </c>
      <c r="K132" s="15">
        <f>+(91160+2000+9150+14100+11000+10000)*12</f>
        <v>1648920</v>
      </c>
      <c r="L132" s="15">
        <f t="shared" si="35"/>
        <v>751080</v>
      </c>
      <c r="M132" s="15">
        <v>2400000</v>
      </c>
      <c r="N132" s="29">
        <f t="shared" si="37"/>
        <v>2400000</v>
      </c>
      <c r="O132" s="15">
        <f>91160*12</f>
        <v>1093920</v>
      </c>
      <c r="P132" s="15">
        <f t="shared" si="36"/>
        <v>1306080</v>
      </c>
      <c r="Q132" s="16" t="s">
        <v>100</v>
      </c>
    </row>
    <row r="133" spans="1:18" hidden="1" outlineLevel="1" x14ac:dyDescent="0.25">
      <c r="A133" s="1" t="s">
        <v>30</v>
      </c>
      <c r="B133" s="14">
        <v>50078</v>
      </c>
      <c r="C133" s="14" t="s">
        <v>236</v>
      </c>
      <c r="D133" s="14" t="s">
        <v>26</v>
      </c>
      <c r="E133" s="15">
        <v>166424.47</v>
      </c>
      <c r="F133" s="15">
        <v>946008.31</v>
      </c>
      <c r="G133" s="15">
        <v>720252.20000000007</v>
      </c>
      <c r="H133" s="15">
        <v>850000</v>
      </c>
      <c r="I133" s="15">
        <v>1290000</v>
      </c>
      <c r="J133" s="15">
        <f t="shared" si="34"/>
        <v>1290000</v>
      </c>
      <c r="K133" s="15">
        <f>+(2500+3500+12400)*12</f>
        <v>220800</v>
      </c>
      <c r="L133" s="15">
        <f t="shared" si="35"/>
        <v>1069200</v>
      </c>
      <c r="M133" s="15">
        <v>1140000</v>
      </c>
      <c r="N133" s="29">
        <f t="shared" si="37"/>
        <v>1140000</v>
      </c>
      <c r="O133" s="15">
        <f>25080*12</f>
        <v>300960</v>
      </c>
      <c r="P133" s="15">
        <f t="shared" si="36"/>
        <v>839040</v>
      </c>
      <c r="Q133" s="16" t="s">
        <v>101</v>
      </c>
    </row>
    <row r="134" spans="1:18" hidden="1" outlineLevel="1" x14ac:dyDescent="0.25">
      <c r="A134" s="1" t="s">
        <v>16</v>
      </c>
      <c r="B134" s="14">
        <v>50083</v>
      </c>
      <c r="C134" s="14" t="s">
        <v>237</v>
      </c>
      <c r="D134" s="14" t="s">
        <v>53</v>
      </c>
      <c r="E134" s="15">
        <v>151100</v>
      </c>
      <c r="F134" s="15">
        <v>28180.999999999996</v>
      </c>
      <c r="G134" s="15">
        <v>28181</v>
      </c>
      <c r="H134" s="15">
        <v>30000</v>
      </c>
      <c r="I134" s="15">
        <v>30000</v>
      </c>
      <c r="J134" s="15">
        <f t="shared" si="34"/>
        <v>30000</v>
      </c>
      <c r="K134" s="15"/>
      <c r="L134" s="15">
        <f t="shared" si="35"/>
        <v>30000</v>
      </c>
      <c r="M134" s="15">
        <v>30000</v>
      </c>
      <c r="N134" s="29">
        <f t="shared" si="37"/>
        <v>30000</v>
      </c>
      <c r="O134" s="15"/>
      <c r="P134" s="15">
        <f t="shared" si="36"/>
        <v>30000</v>
      </c>
      <c r="Q134" s="16" t="s">
        <v>102</v>
      </c>
    </row>
    <row r="135" spans="1:18" hidden="1" outlineLevel="1" x14ac:dyDescent="0.25">
      <c r="A135" s="1" t="s">
        <v>103</v>
      </c>
      <c r="B135" s="14">
        <v>50086</v>
      </c>
      <c r="C135" s="14" t="s">
        <v>238</v>
      </c>
      <c r="D135" s="14" t="s">
        <v>22</v>
      </c>
      <c r="E135" s="15">
        <v>0</v>
      </c>
      <c r="F135" s="15">
        <v>0</v>
      </c>
      <c r="G135" s="15">
        <v>155082.88</v>
      </c>
      <c r="H135" s="15">
        <v>75000</v>
      </c>
      <c r="I135" s="15">
        <v>1500000</v>
      </c>
      <c r="J135" s="15">
        <f t="shared" si="34"/>
        <v>1500000</v>
      </c>
      <c r="K135" s="15"/>
      <c r="L135" s="15">
        <f t="shared" si="35"/>
        <v>1500000</v>
      </c>
      <c r="M135" s="15">
        <v>0</v>
      </c>
      <c r="N135" s="29">
        <f t="shared" si="37"/>
        <v>0</v>
      </c>
      <c r="O135" s="15"/>
      <c r="P135" s="15">
        <f t="shared" si="36"/>
        <v>0</v>
      </c>
      <c r="Q135" s="35" t="s">
        <v>104</v>
      </c>
    </row>
    <row r="136" spans="1:18" hidden="1" outlineLevel="1" x14ac:dyDescent="0.25">
      <c r="A136" s="1" t="s">
        <v>93</v>
      </c>
      <c r="B136" s="14">
        <v>60023</v>
      </c>
      <c r="C136" s="14" t="s">
        <v>239</v>
      </c>
      <c r="D136" s="14" t="s">
        <v>53</v>
      </c>
      <c r="E136" s="15">
        <v>44876</v>
      </c>
      <c r="F136" s="15">
        <v>47895.5</v>
      </c>
      <c r="G136" s="15">
        <v>44499.000000000007</v>
      </c>
      <c r="H136" s="15">
        <v>41000</v>
      </c>
      <c r="I136" s="15">
        <v>50000</v>
      </c>
      <c r="J136" s="15">
        <f t="shared" si="34"/>
        <v>50000</v>
      </c>
      <c r="K136" s="15"/>
      <c r="L136" s="15">
        <f t="shared" si="35"/>
        <v>50000</v>
      </c>
      <c r="M136" s="15">
        <v>50000</v>
      </c>
      <c r="N136" s="29">
        <f t="shared" si="37"/>
        <v>50000</v>
      </c>
      <c r="O136" s="15"/>
      <c r="P136" s="15">
        <f t="shared" si="36"/>
        <v>50000</v>
      </c>
      <c r="Q136" s="16" t="s">
        <v>105</v>
      </c>
    </row>
    <row r="137" spans="1:18" hidden="1" outlineLevel="1" x14ac:dyDescent="0.25">
      <c r="B137" s="27"/>
      <c r="C137" s="28" t="s">
        <v>106</v>
      </c>
      <c r="D137" s="27"/>
      <c r="E137" s="29"/>
      <c r="F137" s="29"/>
      <c r="G137" s="29"/>
      <c r="H137" s="29"/>
      <c r="I137" s="29"/>
      <c r="J137" s="29">
        <v>-400300</v>
      </c>
      <c r="K137" s="29"/>
      <c r="L137" s="29">
        <v>-400300</v>
      </c>
      <c r="M137" s="29"/>
      <c r="N137" s="29">
        <v>-404000</v>
      </c>
      <c r="O137" s="29"/>
      <c r="P137" s="29">
        <v>-404000</v>
      </c>
      <c r="Q137" s="16"/>
    </row>
    <row r="138" spans="1:18" collapsed="1" x14ac:dyDescent="0.25">
      <c r="B138" s="31" t="s">
        <v>107</v>
      </c>
      <c r="C138" s="32"/>
      <c r="D138" s="32"/>
      <c r="E138" s="33">
        <f t="shared" ref="E138:I138" si="38">SUM(E122:E136)</f>
        <v>3787088.08</v>
      </c>
      <c r="F138" s="33">
        <f t="shared" si="38"/>
        <v>5814948.5600000005</v>
      </c>
      <c r="G138" s="33">
        <f t="shared" si="38"/>
        <v>5723630.25</v>
      </c>
      <c r="H138" s="33">
        <f t="shared" si="38"/>
        <v>5414000</v>
      </c>
      <c r="I138" s="33">
        <f t="shared" si="38"/>
        <v>8170000</v>
      </c>
      <c r="J138" s="33">
        <f>SUM(J122:J137)</f>
        <v>7769700</v>
      </c>
      <c r="K138" s="33">
        <f t="shared" ref="K138:P138" si="39">SUM(K122:K137)</f>
        <v>3732320</v>
      </c>
      <c r="L138" s="33">
        <f t="shared" si="39"/>
        <v>4037380</v>
      </c>
      <c r="M138" s="33">
        <f t="shared" si="39"/>
        <v>6520000</v>
      </c>
      <c r="N138" s="33">
        <f t="shared" si="39"/>
        <v>6116000</v>
      </c>
      <c r="O138" s="33">
        <f t="shared" si="39"/>
        <v>1394880</v>
      </c>
      <c r="P138" s="33">
        <f t="shared" si="39"/>
        <v>4721120</v>
      </c>
      <c r="Q138" s="16"/>
    </row>
    <row r="139" spans="1:18" hidden="1" outlineLevel="1" x14ac:dyDescent="0.25">
      <c r="A139" s="1" t="s">
        <v>16</v>
      </c>
      <c r="B139" s="14">
        <v>50017</v>
      </c>
      <c r="C139" s="14" t="s">
        <v>240</v>
      </c>
      <c r="D139" s="14" t="s">
        <v>22</v>
      </c>
      <c r="E139" s="15">
        <v>13.450000000000728</v>
      </c>
      <c r="F139" s="15">
        <v>10164.209999999999</v>
      </c>
      <c r="G139" s="15">
        <v>8823.15</v>
      </c>
      <c r="H139" s="15">
        <v>25000</v>
      </c>
      <c r="I139" s="15">
        <v>0</v>
      </c>
      <c r="J139" s="15">
        <f t="shared" ref="J139:J154" si="40">+K139+L139</f>
        <v>0</v>
      </c>
      <c r="K139" s="15"/>
      <c r="L139" s="15">
        <f>+I139-K139</f>
        <v>0</v>
      </c>
      <c r="M139" s="15">
        <v>0</v>
      </c>
      <c r="N139" s="15">
        <f>+M139</f>
        <v>0</v>
      </c>
      <c r="O139" s="15"/>
      <c r="P139" s="15">
        <f>+M139-O139</f>
        <v>0</v>
      </c>
      <c r="Q139" s="16" t="s">
        <v>108</v>
      </c>
    </row>
    <row r="140" spans="1:18" hidden="1" outlineLevel="1" x14ac:dyDescent="0.25">
      <c r="A140" s="1" t="s">
        <v>16</v>
      </c>
      <c r="B140" s="14">
        <v>50025</v>
      </c>
      <c r="C140" s="14" t="s">
        <v>241</v>
      </c>
      <c r="D140" s="14" t="s">
        <v>53</v>
      </c>
      <c r="E140" s="15">
        <v>508580</v>
      </c>
      <c r="F140" s="15">
        <v>416453.75</v>
      </c>
      <c r="G140" s="15">
        <v>417000</v>
      </c>
      <c r="H140" s="15">
        <v>200000</v>
      </c>
      <c r="I140" s="15">
        <v>300000</v>
      </c>
      <c r="J140" s="15">
        <f t="shared" si="40"/>
        <v>300000</v>
      </c>
      <c r="K140" s="15">
        <v>85000</v>
      </c>
      <c r="L140" s="15">
        <f>+I140-K140</f>
        <v>215000</v>
      </c>
      <c r="M140" s="15">
        <v>300000</v>
      </c>
      <c r="N140" s="15">
        <f t="shared" ref="N140:N154" si="41">+M140</f>
        <v>300000</v>
      </c>
      <c r="O140" s="15">
        <v>85000</v>
      </c>
      <c r="P140" s="15">
        <f>+M140-O140</f>
        <v>215000</v>
      </c>
      <c r="Q140" s="16"/>
    </row>
    <row r="141" spans="1:18" hidden="1" outlineLevel="1" x14ac:dyDescent="0.25">
      <c r="A141" s="1" t="s">
        <v>16</v>
      </c>
      <c r="B141" s="14">
        <v>50026</v>
      </c>
      <c r="C141" s="14" t="s">
        <v>242</v>
      </c>
      <c r="D141" s="14" t="s">
        <v>53</v>
      </c>
      <c r="E141" s="15">
        <v>3015146.3</v>
      </c>
      <c r="F141" s="15">
        <v>3585167.9000000004</v>
      </c>
      <c r="G141" s="15">
        <v>3657187.5299999993</v>
      </c>
      <c r="H141" s="15">
        <v>4371061.95</v>
      </c>
      <c r="I141" s="15">
        <v>4840000</v>
      </c>
      <c r="J141" s="15">
        <f t="shared" si="40"/>
        <v>4840000</v>
      </c>
      <c r="K141" s="15">
        <f>+I141-L141</f>
        <v>4810000</v>
      </c>
      <c r="L141" s="15">
        <v>30000</v>
      </c>
      <c r="M141" s="15">
        <v>5060000</v>
      </c>
      <c r="N141" s="15">
        <f t="shared" si="41"/>
        <v>5060000</v>
      </c>
      <c r="O141" s="15">
        <f>+M141-P141</f>
        <v>4091000</v>
      </c>
      <c r="P141" s="15">
        <v>969000</v>
      </c>
      <c r="Q141" s="16" t="s">
        <v>109</v>
      </c>
    </row>
    <row r="142" spans="1:18" hidden="1" outlineLevel="1" x14ac:dyDescent="0.25">
      <c r="A142" s="1" t="s">
        <v>16</v>
      </c>
      <c r="B142" s="14">
        <v>50028</v>
      </c>
      <c r="C142" s="14" t="s">
        <v>243</v>
      </c>
      <c r="D142" s="14" t="s">
        <v>26</v>
      </c>
      <c r="E142" s="15">
        <v>522585.35000000003</v>
      </c>
      <c r="F142" s="15">
        <v>1468194.0999999999</v>
      </c>
      <c r="G142" s="15">
        <v>-34538</v>
      </c>
      <c r="H142" s="15">
        <v>100000</v>
      </c>
      <c r="I142" s="15">
        <v>300000</v>
      </c>
      <c r="J142" s="15">
        <f t="shared" si="40"/>
        <v>300000</v>
      </c>
      <c r="K142" s="15"/>
      <c r="L142" s="15">
        <f t="shared" ref="L142:L154" si="42">+I142-K142</f>
        <v>300000</v>
      </c>
      <c r="M142" s="15">
        <v>300000</v>
      </c>
      <c r="N142" s="15">
        <f t="shared" si="41"/>
        <v>300000</v>
      </c>
      <c r="O142" s="15"/>
      <c r="P142" s="15">
        <f t="shared" ref="P142:P154" si="43">+M142-O142</f>
        <v>300000</v>
      </c>
      <c r="Q142" s="16" t="s">
        <v>110</v>
      </c>
      <c r="R142" s="18"/>
    </row>
    <row r="143" spans="1:18" hidden="1" outlineLevel="1" x14ac:dyDescent="0.25">
      <c r="B143" s="14">
        <v>50036</v>
      </c>
      <c r="C143" s="14" t="s">
        <v>244</v>
      </c>
      <c r="D143" s="14" t="s">
        <v>22</v>
      </c>
      <c r="E143" s="1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f t="shared" si="40"/>
        <v>0</v>
      </c>
      <c r="K143" s="15"/>
      <c r="L143" s="15">
        <f t="shared" si="42"/>
        <v>0</v>
      </c>
      <c r="M143" s="15">
        <v>0</v>
      </c>
      <c r="N143" s="15">
        <f t="shared" si="41"/>
        <v>0</v>
      </c>
      <c r="O143" s="15"/>
      <c r="P143" s="15">
        <f t="shared" si="43"/>
        <v>0</v>
      </c>
      <c r="Q143" s="16"/>
    </row>
    <row r="144" spans="1:18" hidden="1" outlineLevel="1" x14ac:dyDescent="0.25">
      <c r="A144" s="1" t="s">
        <v>38</v>
      </c>
      <c r="B144" s="14">
        <v>50042</v>
      </c>
      <c r="C144" s="14" t="s">
        <v>245</v>
      </c>
      <c r="D144" s="14" t="s">
        <v>26</v>
      </c>
      <c r="E144" s="15">
        <v>307435.09000000003</v>
      </c>
      <c r="F144" s="15">
        <v>261546.06000000003</v>
      </c>
      <c r="G144" s="15">
        <v>252743.35000000003</v>
      </c>
      <c r="H144" s="15">
        <v>155000</v>
      </c>
      <c r="I144" s="15">
        <v>57000</v>
      </c>
      <c r="J144" s="15">
        <f t="shared" si="40"/>
        <v>57000</v>
      </c>
      <c r="K144" s="15">
        <f>7400*4+3850*2</f>
        <v>37300</v>
      </c>
      <c r="L144" s="15">
        <f t="shared" si="42"/>
        <v>19700</v>
      </c>
      <c r="M144" s="15">
        <v>50000</v>
      </c>
      <c r="N144" s="15">
        <f t="shared" si="41"/>
        <v>50000</v>
      </c>
      <c r="O144" s="15">
        <f>7400*4</f>
        <v>29600</v>
      </c>
      <c r="P144" s="15">
        <f t="shared" si="43"/>
        <v>20400</v>
      </c>
      <c r="Q144" s="16" t="s">
        <v>111</v>
      </c>
    </row>
    <row r="145" spans="1:18" hidden="1" outlineLevel="1" x14ac:dyDescent="0.25">
      <c r="A145" s="1" t="s">
        <v>38</v>
      </c>
      <c r="B145" s="14">
        <v>50043</v>
      </c>
      <c r="C145" s="14" t="s">
        <v>246</v>
      </c>
      <c r="D145" s="14" t="s">
        <v>26</v>
      </c>
      <c r="E145" s="15">
        <v>300791.86</v>
      </c>
      <c r="F145" s="15">
        <v>107788.51000000001</v>
      </c>
      <c r="G145" s="15">
        <v>583776.85</v>
      </c>
      <c r="H145" s="15">
        <v>330000</v>
      </c>
      <c r="I145" s="15">
        <v>150000</v>
      </c>
      <c r="J145" s="15">
        <f t="shared" si="40"/>
        <v>150000</v>
      </c>
      <c r="K145" s="15">
        <f>4140*12</f>
        <v>49680</v>
      </c>
      <c r="L145" s="15">
        <f t="shared" si="42"/>
        <v>100320</v>
      </c>
      <c r="M145" s="15">
        <v>150000</v>
      </c>
      <c r="N145" s="15">
        <f t="shared" si="41"/>
        <v>150000</v>
      </c>
      <c r="O145" s="15">
        <f>4140*12</f>
        <v>49680</v>
      </c>
      <c r="P145" s="15">
        <f t="shared" si="43"/>
        <v>100320</v>
      </c>
      <c r="Q145" s="16" t="s">
        <v>112</v>
      </c>
      <c r="R145" s="18"/>
    </row>
    <row r="146" spans="1:18" hidden="1" outlineLevel="1" x14ac:dyDescent="0.25">
      <c r="A146" s="1" t="s">
        <v>38</v>
      </c>
      <c r="B146" s="14">
        <v>50044</v>
      </c>
      <c r="C146" s="14" t="s">
        <v>247</v>
      </c>
      <c r="D146" s="14" t="s">
        <v>53</v>
      </c>
      <c r="E146" s="15">
        <v>17160</v>
      </c>
      <c r="F146" s="15">
        <v>18386.25</v>
      </c>
      <c r="G146" s="15">
        <v>69836.359999999986</v>
      </c>
      <c r="H146" s="15">
        <v>95000</v>
      </c>
      <c r="I146" s="15">
        <v>95000</v>
      </c>
      <c r="J146" s="15">
        <f t="shared" si="40"/>
        <v>95000</v>
      </c>
      <c r="K146" s="15">
        <f>3000*4+1650*12</f>
        <v>31800</v>
      </c>
      <c r="L146" s="15">
        <f t="shared" si="42"/>
        <v>63200</v>
      </c>
      <c r="M146" s="15">
        <v>95000</v>
      </c>
      <c r="N146" s="15">
        <f t="shared" si="41"/>
        <v>95000</v>
      </c>
      <c r="O146" s="15"/>
      <c r="P146" s="15">
        <f t="shared" si="43"/>
        <v>95000</v>
      </c>
      <c r="Q146" s="1" t="s">
        <v>113</v>
      </c>
      <c r="R146" s="1" t="s">
        <v>114</v>
      </c>
    </row>
    <row r="147" spans="1:18" hidden="1" outlineLevel="1" x14ac:dyDescent="0.25">
      <c r="A147" s="1" t="s">
        <v>38</v>
      </c>
      <c r="B147" s="14">
        <v>50045</v>
      </c>
      <c r="C147" s="14" t="s">
        <v>248</v>
      </c>
      <c r="D147" s="14" t="s">
        <v>22</v>
      </c>
      <c r="E147" s="15">
        <v>29188.920000000002</v>
      </c>
      <c r="F147" s="15">
        <v>17761.160000000003</v>
      </c>
      <c r="G147" s="15">
        <v>92026.459999999992</v>
      </c>
      <c r="H147" s="15">
        <v>95000</v>
      </c>
      <c r="I147" s="15">
        <v>50000</v>
      </c>
      <c r="J147" s="15">
        <f t="shared" si="40"/>
        <v>50000</v>
      </c>
      <c r="K147" s="15"/>
      <c r="L147" s="15">
        <f t="shared" si="42"/>
        <v>50000</v>
      </c>
      <c r="M147" s="15">
        <v>50000</v>
      </c>
      <c r="N147" s="15">
        <f t="shared" si="41"/>
        <v>50000</v>
      </c>
      <c r="O147" s="15"/>
      <c r="P147" s="15">
        <f t="shared" si="43"/>
        <v>50000</v>
      </c>
      <c r="Q147" s="16" t="s">
        <v>115</v>
      </c>
    </row>
    <row r="148" spans="1:18" hidden="1" outlineLevel="1" x14ac:dyDescent="0.25">
      <c r="A148" s="1" t="s">
        <v>38</v>
      </c>
      <c r="B148" s="14">
        <v>50046</v>
      </c>
      <c r="C148" s="14" t="s">
        <v>249</v>
      </c>
      <c r="D148" s="14" t="s">
        <v>26</v>
      </c>
      <c r="E148" s="15">
        <v>414765.4</v>
      </c>
      <c r="F148" s="15">
        <v>87662.329999999987</v>
      </c>
      <c r="G148" s="15">
        <v>81523.400000000009</v>
      </c>
      <c r="H148" s="15">
        <v>50000</v>
      </c>
      <c r="I148" s="15">
        <v>80000</v>
      </c>
      <c r="J148" s="15">
        <f t="shared" si="40"/>
        <v>80000</v>
      </c>
      <c r="K148" s="15"/>
      <c r="L148" s="15">
        <f t="shared" si="42"/>
        <v>80000</v>
      </c>
      <c r="M148" s="15">
        <v>80000</v>
      </c>
      <c r="N148" s="15">
        <f t="shared" si="41"/>
        <v>80000</v>
      </c>
      <c r="O148" s="15"/>
      <c r="P148" s="15">
        <f t="shared" si="43"/>
        <v>80000</v>
      </c>
      <c r="Q148" s="16" t="s">
        <v>116</v>
      </c>
    </row>
    <row r="149" spans="1:18" hidden="1" outlineLevel="1" x14ac:dyDescent="0.25">
      <c r="A149" s="1" t="s">
        <v>38</v>
      </c>
      <c r="B149" s="14">
        <v>50047</v>
      </c>
      <c r="C149" s="14" t="s">
        <v>250</v>
      </c>
      <c r="D149" s="14" t="s">
        <v>26</v>
      </c>
      <c r="E149" s="15">
        <v>158305.44</v>
      </c>
      <c r="F149" s="15">
        <v>151571.07</v>
      </c>
      <c r="G149" s="15">
        <v>134870.5</v>
      </c>
      <c r="H149" s="15">
        <v>125000</v>
      </c>
      <c r="I149" s="15">
        <v>150000</v>
      </c>
      <c r="J149" s="15">
        <f t="shared" si="40"/>
        <v>150000</v>
      </c>
      <c r="K149" s="15"/>
      <c r="L149" s="15">
        <f t="shared" si="42"/>
        <v>150000</v>
      </c>
      <c r="M149" s="15">
        <v>150000</v>
      </c>
      <c r="N149" s="15">
        <f t="shared" si="41"/>
        <v>150000</v>
      </c>
      <c r="O149" s="15"/>
      <c r="P149" s="15">
        <f t="shared" si="43"/>
        <v>150000</v>
      </c>
      <c r="Q149" s="16" t="s">
        <v>117</v>
      </c>
    </row>
    <row r="150" spans="1:18" hidden="1" outlineLevel="1" x14ac:dyDescent="0.25">
      <c r="A150" s="1" t="s">
        <v>38</v>
      </c>
      <c r="B150" s="14">
        <v>50048</v>
      </c>
      <c r="C150" s="14" t="s">
        <v>251</v>
      </c>
      <c r="D150" s="14" t="s">
        <v>26</v>
      </c>
      <c r="E150" s="15">
        <v>638571.79</v>
      </c>
      <c r="F150" s="15">
        <v>545558.5399999998</v>
      </c>
      <c r="G150" s="15">
        <v>703425.87000000011</v>
      </c>
      <c r="H150" s="15">
        <v>750000</v>
      </c>
      <c r="I150" s="15">
        <v>620000</v>
      </c>
      <c r="J150" s="15">
        <f t="shared" si="40"/>
        <v>620000</v>
      </c>
      <c r="K150" s="15"/>
      <c r="L150" s="15">
        <f t="shared" si="42"/>
        <v>620000</v>
      </c>
      <c r="M150" s="15">
        <v>670000</v>
      </c>
      <c r="N150" s="15">
        <f t="shared" si="41"/>
        <v>670000</v>
      </c>
      <c r="O150" s="15"/>
      <c r="P150" s="15">
        <f t="shared" si="43"/>
        <v>670000</v>
      </c>
      <c r="Q150" s="16" t="s">
        <v>118</v>
      </c>
    </row>
    <row r="151" spans="1:18" hidden="1" outlineLevel="1" x14ac:dyDescent="0.25">
      <c r="B151" s="14">
        <v>50056</v>
      </c>
      <c r="C151" s="14" t="s">
        <v>252</v>
      </c>
      <c r="D151" s="14" t="s">
        <v>22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f t="shared" si="40"/>
        <v>0</v>
      </c>
      <c r="K151" s="15"/>
      <c r="L151" s="15">
        <f t="shared" si="42"/>
        <v>0</v>
      </c>
      <c r="M151" s="15">
        <v>0</v>
      </c>
      <c r="N151" s="15">
        <f t="shared" si="41"/>
        <v>0</v>
      </c>
      <c r="O151" s="15"/>
      <c r="P151" s="15">
        <f t="shared" si="43"/>
        <v>0</v>
      </c>
      <c r="Q151" s="16"/>
    </row>
    <row r="152" spans="1:18" hidden="1" outlineLevel="1" x14ac:dyDescent="0.25">
      <c r="A152" s="1" t="s">
        <v>38</v>
      </c>
      <c r="B152" s="14">
        <v>50057</v>
      </c>
      <c r="C152" s="14" t="s">
        <v>253</v>
      </c>
      <c r="D152" s="14" t="s">
        <v>26</v>
      </c>
      <c r="E152" s="15">
        <v>201971.61</v>
      </c>
      <c r="F152" s="15">
        <v>83889.220000000016</v>
      </c>
      <c r="G152" s="15">
        <v>135049.63</v>
      </c>
      <c r="H152" s="15">
        <v>80000</v>
      </c>
      <c r="I152" s="15">
        <v>140000</v>
      </c>
      <c r="J152" s="15">
        <f t="shared" si="40"/>
        <v>140000</v>
      </c>
      <c r="K152" s="15">
        <v>12000</v>
      </c>
      <c r="L152" s="15">
        <f t="shared" si="42"/>
        <v>128000</v>
      </c>
      <c r="M152" s="15">
        <v>140000</v>
      </c>
      <c r="N152" s="15">
        <f t="shared" si="41"/>
        <v>140000</v>
      </c>
      <c r="O152" s="15">
        <v>12000</v>
      </c>
      <c r="P152" s="15">
        <f t="shared" si="43"/>
        <v>128000</v>
      </c>
      <c r="Q152" s="16" t="s">
        <v>119</v>
      </c>
    </row>
    <row r="153" spans="1:18" hidden="1" outlineLevel="1" x14ac:dyDescent="0.25">
      <c r="A153" s="1" t="s">
        <v>38</v>
      </c>
      <c r="B153" s="14">
        <v>50080</v>
      </c>
      <c r="C153" s="14" t="s">
        <v>254</v>
      </c>
      <c r="D153" s="14" t="s">
        <v>22</v>
      </c>
      <c r="E153" s="15">
        <v>343078.36</v>
      </c>
      <c r="F153" s="15">
        <v>219368.52000000002</v>
      </c>
      <c r="G153" s="15">
        <v>1398540.6</v>
      </c>
      <c r="H153" s="15">
        <v>270000</v>
      </c>
      <c r="I153" s="15">
        <v>200000</v>
      </c>
      <c r="J153" s="15">
        <f t="shared" si="40"/>
        <v>200000</v>
      </c>
      <c r="K153" s="15"/>
      <c r="L153" s="15">
        <f t="shared" si="42"/>
        <v>200000</v>
      </c>
      <c r="M153" s="15">
        <v>50000</v>
      </c>
      <c r="N153" s="15">
        <f t="shared" si="41"/>
        <v>50000</v>
      </c>
      <c r="O153" s="15"/>
      <c r="P153" s="15">
        <f t="shared" si="43"/>
        <v>50000</v>
      </c>
      <c r="Q153" s="16" t="s">
        <v>120</v>
      </c>
    </row>
    <row r="154" spans="1:18" hidden="1" outlineLevel="1" x14ac:dyDescent="0.25">
      <c r="A154" s="1" t="s">
        <v>93</v>
      </c>
      <c r="B154" s="14">
        <v>60032</v>
      </c>
      <c r="C154" s="14" t="s">
        <v>255</v>
      </c>
      <c r="D154" s="14" t="s">
        <v>22</v>
      </c>
      <c r="E154" s="15">
        <v>64524.2</v>
      </c>
      <c r="F154" s="15">
        <v>62092.000000000022</v>
      </c>
      <c r="G154" s="15">
        <v>64274.63</v>
      </c>
      <c r="H154" s="15">
        <v>67000</v>
      </c>
      <c r="I154" s="15">
        <v>65000</v>
      </c>
      <c r="J154" s="15">
        <f t="shared" si="40"/>
        <v>65000</v>
      </c>
      <c r="K154" s="15"/>
      <c r="L154" s="15">
        <f t="shared" si="42"/>
        <v>65000</v>
      </c>
      <c r="M154" s="15">
        <v>65000</v>
      </c>
      <c r="N154" s="15">
        <f t="shared" si="41"/>
        <v>65000</v>
      </c>
      <c r="O154" s="15"/>
      <c r="P154" s="15">
        <f t="shared" si="43"/>
        <v>65000</v>
      </c>
      <c r="Q154" s="16" t="s">
        <v>121</v>
      </c>
    </row>
    <row r="155" spans="1:18" hidden="1" outlineLevel="1" x14ac:dyDescent="0.25">
      <c r="B155" s="27"/>
      <c r="C155" s="27" t="s">
        <v>106</v>
      </c>
      <c r="D155" s="27"/>
      <c r="E155" s="29"/>
      <c r="F155" s="29"/>
      <c r="G155" s="29"/>
      <c r="H155" s="29"/>
      <c r="I155" s="29"/>
      <c r="J155" s="29">
        <v>-200000</v>
      </c>
      <c r="K155" s="29"/>
      <c r="L155" s="29">
        <v>-200000</v>
      </c>
      <c r="M155" s="29"/>
      <c r="N155" s="29">
        <v>-200000</v>
      </c>
      <c r="O155" s="29"/>
      <c r="P155" s="29">
        <v>-200000</v>
      </c>
      <c r="Q155" s="16"/>
    </row>
    <row r="156" spans="1:18" collapsed="1" x14ac:dyDescent="0.25">
      <c r="B156" s="31" t="s">
        <v>122</v>
      </c>
      <c r="C156" s="32"/>
      <c r="D156" s="32"/>
      <c r="E156" s="33">
        <f t="shared" ref="E156:H156" si="44">SUM(E139:E154)</f>
        <v>6522117.7700000023</v>
      </c>
      <c r="F156" s="33">
        <f t="shared" si="44"/>
        <v>7035603.6199999992</v>
      </c>
      <c r="G156" s="33">
        <f t="shared" si="44"/>
        <v>7564540.3299999991</v>
      </c>
      <c r="H156" s="33">
        <f t="shared" si="44"/>
        <v>6713061.9500000002</v>
      </c>
      <c r="I156" s="33">
        <f>SUM(I139:I155)</f>
        <v>7047000</v>
      </c>
      <c r="J156" s="33">
        <f t="shared" ref="J156:P156" si="45">SUM(J139:J155)</f>
        <v>6847000</v>
      </c>
      <c r="K156" s="33">
        <f t="shared" si="45"/>
        <v>5025780</v>
      </c>
      <c r="L156" s="33">
        <f t="shared" si="45"/>
        <v>1821220</v>
      </c>
      <c r="M156" s="33">
        <f t="shared" si="45"/>
        <v>7160000</v>
      </c>
      <c r="N156" s="33">
        <f t="shared" si="45"/>
        <v>6960000</v>
      </c>
      <c r="O156" s="33">
        <f t="shared" si="45"/>
        <v>4267280</v>
      </c>
      <c r="P156" s="33">
        <f t="shared" si="45"/>
        <v>2692720</v>
      </c>
      <c r="Q156" s="16"/>
    </row>
    <row r="157" spans="1:18" ht="15.75" thickBot="1" x14ac:dyDescent="0.3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</row>
    <row r="158" spans="1:18" ht="15.75" thickBot="1" x14ac:dyDescent="0.3">
      <c r="B158" s="37" t="s">
        <v>123</v>
      </c>
      <c r="C158" s="38"/>
      <c r="D158" s="38"/>
      <c r="E158" s="39">
        <f t="shared" ref="E158:P158" si="46">+E65+E73+E87+E121+E138+E156</f>
        <v>67348425.429999992</v>
      </c>
      <c r="F158" s="39">
        <f t="shared" si="46"/>
        <v>76969569.930000007</v>
      </c>
      <c r="G158" s="39">
        <f t="shared" si="46"/>
        <v>79501400.909999996</v>
      </c>
      <c r="H158" s="39">
        <f t="shared" si="46"/>
        <v>80418261.950000003</v>
      </c>
      <c r="I158" s="39">
        <f t="shared" si="46"/>
        <v>105325300</v>
      </c>
      <c r="J158" s="39">
        <f t="shared" si="46"/>
        <v>90660000</v>
      </c>
      <c r="K158" s="39">
        <f t="shared" si="46"/>
        <v>63112700</v>
      </c>
      <c r="L158" s="39">
        <f t="shared" si="46"/>
        <v>27547300</v>
      </c>
      <c r="M158" s="39">
        <f t="shared" si="46"/>
        <v>99987000</v>
      </c>
      <c r="N158" s="39">
        <f t="shared" si="46"/>
        <v>93005000</v>
      </c>
      <c r="O158" s="39">
        <f t="shared" si="46"/>
        <v>62345860</v>
      </c>
      <c r="P158" s="39">
        <f t="shared" si="46"/>
        <v>30659140</v>
      </c>
      <c r="Q158" s="16"/>
    </row>
    <row r="159" spans="1:18" x14ac:dyDescent="0.25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</row>
    <row r="160" spans="1:18" ht="15.75" thickBot="1" x14ac:dyDescent="0.3">
      <c r="B160" s="40" t="s">
        <v>124</v>
      </c>
      <c r="C160" s="41"/>
      <c r="D160" s="41"/>
      <c r="E160" s="42">
        <f t="shared" ref="E160:P160" si="47">+E15+E158</f>
        <v>-6941110.3300000131</v>
      </c>
      <c r="F160" s="42">
        <f t="shared" si="47"/>
        <v>-2789233.7800000012</v>
      </c>
      <c r="G160" s="42">
        <f t="shared" si="47"/>
        <v>-2094707.5099999905</v>
      </c>
      <c r="H160" s="42">
        <f t="shared" si="47"/>
        <v>-592577.04999999702</v>
      </c>
      <c r="I160" s="42">
        <f t="shared" si="47"/>
        <v>22865300</v>
      </c>
      <c r="J160" s="43">
        <f t="shared" si="47"/>
        <v>8200000</v>
      </c>
      <c r="K160" s="42">
        <f t="shared" si="47"/>
        <v>63112700</v>
      </c>
      <c r="L160" s="42">
        <f t="shared" si="47"/>
        <v>-54912700</v>
      </c>
      <c r="M160" s="42">
        <f t="shared" si="47"/>
        <v>13932000</v>
      </c>
      <c r="N160" s="43">
        <f t="shared" si="47"/>
        <v>6950000</v>
      </c>
      <c r="O160" s="42">
        <f t="shared" si="47"/>
        <v>62345860</v>
      </c>
      <c r="P160" s="42">
        <f t="shared" si="47"/>
        <v>-55395860</v>
      </c>
      <c r="Q160" s="44"/>
    </row>
    <row r="161" spans="2:17" s="49" customFormat="1" ht="12" thickTop="1" x14ac:dyDescent="0.2">
      <c r="B161" s="45"/>
      <c r="C161" s="46"/>
      <c r="D161" s="46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8"/>
    </row>
    <row r="162" spans="2:17" collapsed="1" x14ac:dyDescent="0.25">
      <c r="B162" s="31" t="s">
        <v>1</v>
      </c>
      <c r="C162" s="32"/>
      <c r="D162" s="32"/>
      <c r="E162" s="33">
        <v>0</v>
      </c>
      <c r="F162" s="33">
        <v>6670417</v>
      </c>
      <c r="G162" s="33">
        <v>4866500</v>
      </c>
      <c r="H162" s="33">
        <v>10211300</v>
      </c>
      <c r="I162" s="33"/>
      <c r="J162" s="33"/>
      <c r="K162" s="33"/>
      <c r="L162" s="33"/>
      <c r="M162" s="33"/>
      <c r="N162" s="33"/>
      <c r="O162" s="33"/>
      <c r="P162" s="33"/>
      <c r="Q162" s="16"/>
    </row>
    <row r="163" spans="2:17" x14ac:dyDescent="0.25">
      <c r="B163" s="16"/>
      <c r="C163" s="16"/>
      <c r="D163" s="16"/>
      <c r="E163" s="16"/>
      <c r="F163" s="16"/>
      <c r="G163" s="16"/>
      <c r="H163" s="16"/>
      <c r="I163" s="16"/>
      <c r="J163" s="50"/>
      <c r="K163" s="50"/>
      <c r="L163" s="16"/>
      <c r="M163" s="16"/>
      <c r="N163" s="16"/>
      <c r="O163" s="16"/>
      <c r="P163" s="16"/>
    </row>
    <row r="164" spans="2:17" x14ac:dyDescent="0.25">
      <c r="B164" s="36" t="s">
        <v>125</v>
      </c>
      <c r="C164" s="51" t="s">
        <v>126</v>
      </c>
      <c r="D164" s="51"/>
      <c r="J164" s="17"/>
      <c r="K164" s="17"/>
    </row>
    <row r="165" spans="2:17" x14ac:dyDescent="0.25">
      <c r="B165" s="36"/>
      <c r="C165" s="52" t="s">
        <v>127</v>
      </c>
      <c r="D165" s="52"/>
      <c r="E165" s="52"/>
      <c r="F165" s="52"/>
      <c r="G165" s="52"/>
      <c r="H165" s="36"/>
      <c r="I165" s="36"/>
      <c r="J165" s="36"/>
      <c r="K165" s="36"/>
      <c r="L165" s="36"/>
      <c r="M165" s="36"/>
      <c r="N165" s="36"/>
      <c r="O165" s="36"/>
      <c r="P165" s="36"/>
      <c r="Q165" s="36"/>
    </row>
    <row r="166" spans="2:17" x14ac:dyDescent="0.25">
      <c r="B166" s="36"/>
      <c r="C166" s="52" t="s">
        <v>128</v>
      </c>
      <c r="D166" s="52"/>
      <c r="E166" s="52"/>
      <c r="F166" s="52"/>
      <c r="G166" s="52"/>
      <c r="H166" s="53">
        <f>+H160</f>
        <v>-592577.04999999702</v>
      </c>
      <c r="I166" s="53">
        <f>+I160</f>
        <v>22865300</v>
      </c>
      <c r="J166" s="53">
        <f>+J160</f>
        <v>8200000</v>
      </c>
      <c r="K166" s="53"/>
      <c r="L166" s="53"/>
      <c r="M166" s="53">
        <f>+M160</f>
        <v>13932000</v>
      </c>
      <c r="N166" s="53">
        <f>+N160</f>
        <v>6950000</v>
      </c>
      <c r="O166" s="53"/>
      <c r="P166" s="53"/>
      <c r="Q166" s="36"/>
    </row>
    <row r="167" spans="2:17" x14ac:dyDescent="0.25">
      <c r="B167" s="36"/>
      <c r="C167" s="52" t="s">
        <v>129</v>
      </c>
      <c r="D167" s="52"/>
      <c r="E167" s="52"/>
      <c r="F167" s="52"/>
      <c r="G167" s="52"/>
      <c r="H167" s="53">
        <f>-2500000*0.78</f>
        <v>-1950000</v>
      </c>
      <c r="I167" s="53">
        <f>-3800000*0.78</f>
        <v>-2964000</v>
      </c>
      <c r="J167" s="53">
        <f>-3800000*0.78</f>
        <v>-2964000</v>
      </c>
      <c r="K167" s="53"/>
      <c r="L167" s="53"/>
      <c r="M167" s="53">
        <f>-3800000*0.78</f>
        <v>-2964000</v>
      </c>
      <c r="N167" s="53">
        <f>-3800000*0.78</f>
        <v>-2964000</v>
      </c>
      <c r="O167" s="53"/>
      <c r="P167" s="53"/>
      <c r="Q167" s="36" t="s">
        <v>130</v>
      </c>
    </row>
    <row r="168" spans="2:17" ht="15.75" thickBot="1" x14ac:dyDescent="0.3">
      <c r="B168" s="36"/>
      <c r="C168" s="54" t="s">
        <v>131</v>
      </c>
      <c r="D168" s="54"/>
      <c r="E168" s="54"/>
      <c r="F168" s="54"/>
      <c r="G168" s="54"/>
      <c r="H168" s="55">
        <f>+H166+H167</f>
        <v>-2542577.049999997</v>
      </c>
      <c r="I168" s="55">
        <f>+I166+I167</f>
        <v>19901300</v>
      </c>
      <c r="J168" s="55">
        <f>+J166+J167</f>
        <v>5236000</v>
      </c>
      <c r="K168" s="55"/>
      <c r="L168" s="55"/>
      <c r="M168" s="55">
        <f>+M166+M167</f>
        <v>10968000</v>
      </c>
      <c r="N168" s="55">
        <f>+N166+N167</f>
        <v>3986000</v>
      </c>
      <c r="O168" s="55"/>
      <c r="P168" s="55"/>
      <c r="Q168" s="36"/>
    </row>
    <row r="169" spans="2:17" ht="15.75" thickTop="1" x14ac:dyDescent="0.25">
      <c r="B169" s="36"/>
      <c r="C169" s="52"/>
      <c r="D169" s="52"/>
      <c r="E169" s="52"/>
      <c r="F169" s="52"/>
      <c r="G169" s="52"/>
      <c r="H169" s="53"/>
      <c r="I169" s="53"/>
      <c r="J169" s="53"/>
      <c r="K169" s="53"/>
      <c r="L169" s="53"/>
      <c r="M169" s="53"/>
      <c r="N169" s="53"/>
      <c r="O169" s="53"/>
      <c r="P169" s="53"/>
      <c r="Q169" s="36"/>
    </row>
    <row r="170" spans="2:17" x14ac:dyDescent="0.25">
      <c r="B170" s="36" t="s">
        <v>125</v>
      </c>
      <c r="C170" s="51" t="s">
        <v>132</v>
      </c>
      <c r="D170" s="51"/>
      <c r="Q170" s="36"/>
    </row>
    <row r="171" spans="2:17" x14ac:dyDescent="0.25">
      <c r="B171" s="36"/>
      <c r="C171" s="52" t="s">
        <v>133</v>
      </c>
      <c r="D171" s="52"/>
      <c r="E171" s="52"/>
      <c r="F171" s="52"/>
      <c r="G171" s="52" t="s">
        <v>134</v>
      </c>
      <c r="H171" s="53">
        <v>9500000</v>
      </c>
      <c r="I171" s="53">
        <f>+H173</f>
        <v>13100000</v>
      </c>
      <c r="J171" s="53">
        <f>+I171</f>
        <v>13100000</v>
      </c>
      <c r="K171" s="53"/>
      <c r="L171" s="53"/>
      <c r="M171" s="53">
        <f>+I173</f>
        <v>-8265300</v>
      </c>
      <c r="N171" s="53">
        <f>+J173</f>
        <v>6400000</v>
      </c>
      <c r="O171" s="53"/>
      <c r="P171" s="53"/>
      <c r="Q171" s="36"/>
    </row>
    <row r="172" spans="2:17" x14ac:dyDescent="0.25">
      <c r="B172" s="36"/>
      <c r="C172" s="52" t="s">
        <v>135</v>
      </c>
      <c r="D172" s="52"/>
      <c r="E172" s="56"/>
      <c r="F172" s="56"/>
      <c r="G172" s="56"/>
      <c r="H172" s="53">
        <f>-4000000+4500000*2-1400000</f>
        <v>3600000</v>
      </c>
      <c r="I172" s="53">
        <f>-I160+1500000</f>
        <v>-21365300</v>
      </c>
      <c r="J172" s="53">
        <f>-J160+1500000</f>
        <v>-6700000</v>
      </c>
      <c r="K172" s="53"/>
      <c r="L172" s="53"/>
      <c r="M172" s="53">
        <f>-M160+1500000</f>
        <v>-12432000</v>
      </c>
      <c r="N172" s="53">
        <f>-N160+1500000</f>
        <v>-5450000</v>
      </c>
      <c r="O172" s="57"/>
      <c r="P172" s="57"/>
      <c r="Q172" s="36"/>
    </row>
    <row r="173" spans="2:17" x14ac:dyDescent="0.25">
      <c r="B173" s="36"/>
      <c r="C173" s="58" t="s">
        <v>136</v>
      </c>
      <c r="D173" s="58"/>
      <c r="E173" s="59"/>
      <c r="F173" s="59"/>
      <c r="G173" s="59"/>
      <c r="H173" s="60">
        <f>+H171+H172</f>
        <v>13100000</v>
      </c>
      <c r="I173" s="60">
        <f t="shared" ref="I173:M173" si="48">+I171+I172</f>
        <v>-8265300</v>
      </c>
      <c r="J173" s="60">
        <f t="shared" si="48"/>
        <v>6400000</v>
      </c>
      <c r="K173" s="60"/>
      <c r="L173" s="60"/>
      <c r="M173" s="60">
        <f t="shared" si="48"/>
        <v>-20697300</v>
      </c>
      <c r="N173" s="60">
        <f>+N171+N172</f>
        <v>950000</v>
      </c>
      <c r="O173" s="60"/>
      <c r="P173" s="60"/>
      <c r="Q173" s="36"/>
    </row>
    <row r="174" spans="2:17" x14ac:dyDescent="0.25">
      <c r="B174" s="36"/>
      <c r="C174" s="52" t="s">
        <v>137</v>
      </c>
      <c r="D174" s="52"/>
      <c r="E174" s="36"/>
      <c r="F174" s="36"/>
      <c r="G174" s="36"/>
      <c r="H174" s="53">
        <v>5000000</v>
      </c>
      <c r="I174" s="53">
        <f>+H174+3000000</f>
        <v>8000000</v>
      </c>
      <c r="J174" s="53">
        <f>+I174</f>
        <v>8000000</v>
      </c>
      <c r="K174" s="53"/>
      <c r="L174" s="53"/>
      <c r="M174" s="53">
        <f>+I174+3000000</f>
        <v>11000000</v>
      </c>
      <c r="N174" s="53">
        <f>+J174+3000000</f>
        <v>11000000</v>
      </c>
      <c r="O174" s="53"/>
      <c r="P174" s="53"/>
      <c r="Q174" s="36"/>
    </row>
    <row r="175" spans="2:17" x14ac:dyDescent="0.25">
      <c r="B175" s="36"/>
      <c r="C175" s="58" t="s">
        <v>138</v>
      </c>
      <c r="D175" s="58"/>
      <c r="E175" s="59"/>
      <c r="F175" s="59"/>
      <c r="G175" s="59"/>
      <c r="H175" s="60">
        <f>+H173+H174</f>
        <v>18100000</v>
      </c>
      <c r="I175" s="60">
        <f t="shared" ref="I175:N175" si="49">+I173+I174</f>
        <v>-265300</v>
      </c>
      <c r="J175" s="60">
        <f t="shared" si="49"/>
        <v>14400000</v>
      </c>
      <c r="K175" s="60"/>
      <c r="L175" s="60"/>
      <c r="M175" s="60">
        <f t="shared" si="49"/>
        <v>-9697300</v>
      </c>
      <c r="N175" s="60">
        <f t="shared" si="49"/>
        <v>11950000</v>
      </c>
      <c r="O175" s="60"/>
      <c r="P175" s="60"/>
      <c r="Q175" s="36"/>
    </row>
    <row r="176" spans="2:17" x14ac:dyDescent="0.25">
      <c r="B176" s="36"/>
      <c r="C176" s="36"/>
      <c r="D176" s="36"/>
      <c r="E176" s="36"/>
      <c r="F176" s="36"/>
      <c r="G176" s="36"/>
      <c r="H176" s="53"/>
      <c r="I176" s="53"/>
      <c r="J176" s="53"/>
      <c r="K176" s="53"/>
      <c r="L176" s="53"/>
      <c r="M176" s="53"/>
      <c r="N176" s="53"/>
      <c r="O176" s="53"/>
      <c r="P176" s="53"/>
      <c r="Q176" s="36"/>
    </row>
    <row r="177" spans="3:17" x14ac:dyDescent="0.25">
      <c r="C177" s="36" t="s">
        <v>139</v>
      </c>
      <c r="D177" s="36"/>
      <c r="E177" s="36"/>
      <c r="F177" s="36"/>
      <c r="G177" s="36"/>
      <c r="H177" s="53">
        <f>1500000+7000000</f>
        <v>8500000</v>
      </c>
      <c r="I177" s="53">
        <f t="shared" ref="I177:M177" si="50">1500000+7000000</f>
        <v>8500000</v>
      </c>
      <c r="J177" s="53">
        <f t="shared" si="50"/>
        <v>8500000</v>
      </c>
      <c r="K177" s="53"/>
      <c r="L177" s="53"/>
      <c r="M177" s="53">
        <f t="shared" si="50"/>
        <v>8500000</v>
      </c>
      <c r="N177" s="53">
        <f>1500000+7000000</f>
        <v>8500000</v>
      </c>
      <c r="O177" s="53"/>
      <c r="P177" s="53"/>
      <c r="Q177" s="36"/>
    </row>
    <row r="178" spans="3:17" x14ac:dyDescent="0.25">
      <c r="C178" s="59" t="s">
        <v>140</v>
      </c>
      <c r="D178" s="59"/>
      <c r="E178" s="59"/>
      <c r="F178" s="59"/>
      <c r="G178" s="59"/>
      <c r="H178" s="60">
        <f>+H175-H177</f>
        <v>9600000</v>
      </c>
      <c r="I178" s="60">
        <f t="shared" ref="I178:M178" si="51">+I175-I177</f>
        <v>-8765300</v>
      </c>
      <c r="J178" s="60">
        <f t="shared" si="51"/>
        <v>5900000</v>
      </c>
      <c r="K178" s="60"/>
      <c r="L178" s="60"/>
      <c r="M178" s="60">
        <f t="shared" si="51"/>
        <v>-18197300</v>
      </c>
      <c r="N178" s="60">
        <f>+N175-N177</f>
        <v>3450000</v>
      </c>
      <c r="O178" s="60"/>
      <c r="P178" s="60"/>
    </row>
    <row r="179" spans="3:17" x14ac:dyDescent="0.25">
      <c r="J179" s="61"/>
    </row>
    <row r="182" spans="3:17" x14ac:dyDescent="0.25"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</row>
    <row r="183" spans="3:17" x14ac:dyDescent="0.25">
      <c r="I183" s="17"/>
      <c r="J183" s="17"/>
      <c r="K183" s="17"/>
      <c r="L183" s="17"/>
      <c r="M183" s="17"/>
      <c r="N183" s="17"/>
      <c r="O183" s="17"/>
      <c r="P183" s="17"/>
    </row>
  </sheetData>
  <autoFilter ref="A7:R182" xr:uid="{2D1A42DE-4D06-480F-85CB-BC9A487E0A4D}"/>
  <pageMargins left="0.7" right="0.7" top="0.75" bottom="0.75" header="0.3" footer="0.3"/>
  <pageSetup paperSize="9" scale="56" fitToHeight="0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12</vt:i4>
      </vt:variant>
    </vt:vector>
  </HeadingPairs>
  <TitlesOfParts>
    <vt:vector size="13" baseType="lpstr">
      <vt:lpstr>Budsjettforslag2</vt:lpstr>
      <vt:lpstr>Budsjettforslag2!OSRRefC10x_0</vt:lpstr>
      <vt:lpstr>Budsjettforslag2!OSRRefC11x_0</vt:lpstr>
      <vt:lpstr>Budsjettforslag2!OSRRefC12x_0</vt:lpstr>
      <vt:lpstr>Budsjettforslag2!OSRRefC13x_0</vt:lpstr>
      <vt:lpstr>Budsjettforslag2!OSRRefD10x_0_0</vt:lpstr>
      <vt:lpstr>Budsjettforslag2!OSRRefD11x_0_0</vt:lpstr>
      <vt:lpstr>Budsjettforslag2!OSRRefD12x_0_0</vt:lpstr>
      <vt:lpstr>Budsjettforslag2!OSRRefD13x_0_0</vt:lpstr>
      <vt:lpstr>Budsjettforslag2!OSRRefE10x</vt:lpstr>
      <vt:lpstr>Budsjettforslag2!OSRRefE11x</vt:lpstr>
      <vt:lpstr>Budsjettforslag2!OSRRefE12x</vt:lpstr>
      <vt:lpstr>Budsjettforslag2!OSRRefE13x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Pocock Krane</dc:creator>
  <cp:lastModifiedBy>Mette-Sofie Kjølsrød</cp:lastModifiedBy>
  <dcterms:created xsi:type="dcterms:W3CDTF">2020-12-04T20:29:57Z</dcterms:created>
  <dcterms:modified xsi:type="dcterms:W3CDTF">2020-12-05T12:42:01Z</dcterms:modified>
</cp:coreProperties>
</file>